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301ASルール競技運営ツール\"/>
    </mc:Choice>
  </mc:AlternateContent>
  <xr:revisionPtr revIDLastSave="0" documentId="8_{85C74889-5D11-46AE-AD11-93E2004EE0D9}" xr6:coauthVersionLast="47" xr6:coauthVersionMax="47" xr10:uidLastSave="{00000000-0000-0000-0000-000000000000}"/>
  <bookViews>
    <workbookView xWindow="-120" yWindow="-120" windowWidth="20730" windowHeight="11160" xr2:uid="{D27DD30B-96C9-468A-BC16-2610FCAFB0C0}"/>
  </bookViews>
  <sheets>
    <sheet name="説明" sheetId="2" r:id="rId1"/>
    <sheet name="係数" sheetId="8" r:id="rId2"/>
    <sheet name="入力シート" sheetId="1" r:id="rId3"/>
    <sheet name="S・D結果" sheetId="5" r:id="rId4"/>
    <sheet name="チーム種目結果" sheetId="3" r:id="rId5"/>
    <sheet name="リスト" sheetId="6" r:id="rId6"/>
  </sheets>
  <definedNames>
    <definedName name="_xlnm.Print_Area" localSheetId="2">入力シート!$A$1:$AC$589</definedName>
    <definedName name="_xlnm.Print_Titles" localSheetId="2">入力シート!$1:$4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K18" i="1"/>
  <c r="G577" i="1"/>
  <c r="G576" i="1"/>
  <c r="G575" i="1"/>
  <c r="G574" i="1"/>
  <c r="G573" i="1"/>
  <c r="G572" i="1"/>
  <c r="G571" i="1"/>
  <c r="G570" i="1"/>
  <c r="G569" i="1"/>
  <c r="G548" i="1"/>
  <c r="G547" i="1"/>
  <c r="G546" i="1"/>
  <c r="G545" i="1"/>
  <c r="G544" i="1"/>
  <c r="G543" i="1"/>
  <c r="G542" i="1"/>
  <c r="G541" i="1"/>
  <c r="G540" i="1"/>
  <c r="G519" i="1"/>
  <c r="G518" i="1"/>
  <c r="G517" i="1"/>
  <c r="G516" i="1"/>
  <c r="G515" i="1"/>
  <c r="G514" i="1"/>
  <c r="G513" i="1"/>
  <c r="G512" i="1"/>
  <c r="G511" i="1"/>
  <c r="G490" i="1"/>
  <c r="G489" i="1"/>
  <c r="G488" i="1"/>
  <c r="G487" i="1"/>
  <c r="G486" i="1"/>
  <c r="G485" i="1"/>
  <c r="G484" i="1"/>
  <c r="G483" i="1"/>
  <c r="G482" i="1"/>
  <c r="G461" i="1"/>
  <c r="G460" i="1"/>
  <c r="G459" i="1"/>
  <c r="G458" i="1"/>
  <c r="G457" i="1"/>
  <c r="G456" i="1"/>
  <c r="G455" i="1"/>
  <c r="G454" i="1"/>
  <c r="G453" i="1"/>
  <c r="G432" i="1"/>
  <c r="G431" i="1"/>
  <c r="G430" i="1"/>
  <c r="G429" i="1"/>
  <c r="G428" i="1"/>
  <c r="G427" i="1"/>
  <c r="G426" i="1"/>
  <c r="G425" i="1"/>
  <c r="G424" i="1"/>
  <c r="G403" i="1"/>
  <c r="G402" i="1"/>
  <c r="G401" i="1"/>
  <c r="G400" i="1"/>
  <c r="G399" i="1"/>
  <c r="G398" i="1"/>
  <c r="G397" i="1"/>
  <c r="G396" i="1"/>
  <c r="G395" i="1"/>
  <c r="G374" i="1"/>
  <c r="G373" i="1"/>
  <c r="G372" i="1"/>
  <c r="G371" i="1"/>
  <c r="G370" i="1"/>
  <c r="G369" i="1"/>
  <c r="G368" i="1"/>
  <c r="G367" i="1"/>
  <c r="G366" i="1"/>
  <c r="G345" i="1"/>
  <c r="G344" i="1"/>
  <c r="G343" i="1"/>
  <c r="G342" i="1"/>
  <c r="G341" i="1"/>
  <c r="G340" i="1"/>
  <c r="G339" i="1"/>
  <c r="G338" i="1"/>
  <c r="G337" i="1"/>
  <c r="G316" i="1"/>
  <c r="G315" i="1"/>
  <c r="G314" i="1"/>
  <c r="G313" i="1"/>
  <c r="G312" i="1"/>
  <c r="G311" i="1"/>
  <c r="G310" i="1"/>
  <c r="G309" i="1"/>
  <c r="G308" i="1"/>
  <c r="G287" i="1"/>
  <c r="G286" i="1"/>
  <c r="G285" i="1"/>
  <c r="G284" i="1"/>
  <c r="G283" i="1"/>
  <c r="G282" i="1"/>
  <c r="G281" i="1"/>
  <c r="G280" i="1"/>
  <c r="G279" i="1"/>
  <c r="G258" i="1"/>
  <c r="G257" i="1"/>
  <c r="G256" i="1"/>
  <c r="G255" i="1"/>
  <c r="G254" i="1"/>
  <c r="G253" i="1"/>
  <c r="G252" i="1"/>
  <c r="G251" i="1"/>
  <c r="G250" i="1"/>
  <c r="G229" i="1"/>
  <c r="G228" i="1"/>
  <c r="G227" i="1"/>
  <c r="G226" i="1"/>
  <c r="G225" i="1"/>
  <c r="G224" i="1"/>
  <c r="G223" i="1"/>
  <c r="G222" i="1"/>
  <c r="G221" i="1"/>
  <c r="G200" i="1"/>
  <c r="G199" i="1"/>
  <c r="G198" i="1"/>
  <c r="G197" i="1"/>
  <c r="G196" i="1"/>
  <c r="G195" i="1"/>
  <c r="G194" i="1"/>
  <c r="G193" i="1"/>
  <c r="G192" i="1"/>
  <c r="G171" i="1"/>
  <c r="G170" i="1"/>
  <c r="G169" i="1"/>
  <c r="G168" i="1"/>
  <c r="G167" i="1"/>
  <c r="G166" i="1"/>
  <c r="G165" i="1"/>
  <c r="G164" i="1"/>
  <c r="G163" i="1"/>
  <c r="G142" i="1"/>
  <c r="G141" i="1"/>
  <c r="G140" i="1"/>
  <c r="G139" i="1"/>
  <c r="G138" i="1"/>
  <c r="G137" i="1"/>
  <c r="G136" i="1"/>
  <c r="G135" i="1"/>
  <c r="G134" i="1"/>
  <c r="G113" i="1"/>
  <c r="G112" i="1"/>
  <c r="G111" i="1"/>
  <c r="G110" i="1"/>
  <c r="G109" i="1"/>
  <c r="G108" i="1"/>
  <c r="G107" i="1"/>
  <c r="G106" i="1"/>
  <c r="G105" i="1"/>
  <c r="G84" i="1"/>
  <c r="G83" i="1"/>
  <c r="G82" i="1"/>
  <c r="G81" i="1"/>
  <c r="G80" i="1"/>
  <c r="G79" i="1"/>
  <c r="G78" i="1"/>
  <c r="G77" i="1"/>
  <c r="G76" i="1"/>
  <c r="G55" i="1"/>
  <c r="G54" i="1"/>
  <c r="G53" i="1"/>
  <c r="G52" i="1"/>
  <c r="G51" i="1"/>
  <c r="G50" i="1"/>
  <c r="G49" i="1"/>
  <c r="G48" i="1"/>
  <c r="G47" i="1"/>
  <c r="G20" i="1"/>
  <c r="G21" i="1"/>
  <c r="G22" i="1"/>
  <c r="G23" i="1"/>
  <c r="G24" i="1"/>
  <c r="G25" i="1"/>
  <c r="G26" i="1"/>
  <c r="K577" i="1"/>
  <c r="K576" i="1"/>
  <c r="K575" i="1"/>
  <c r="K574" i="1"/>
  <c r="K573" i="1"/>
  <c r="K572" i="1"/>
  <c r="K571" i="1"/>
  <c r="K570" i="1"/>
  <c r="K569" i="1"/>
  <c r="K548" i="1"/>
  <c r="K547" i="1"/>
  <c r="K546" i="1"/>
  <c r="K545" i="1"/>
  <c r="K544" i="1"/>
  <c r="K543" i="1"/>
  <c r="K542" i="1"/>
  <c r="K541" i="1"/>
  <c r="K540" i="1"/>
  <c r="K519" i="1"/>
  <c r="K518" i="1"/>
  <c r="K517" i="1"/>
  <c r="K516" i="1"/>
  <c r="K515" i="1"/>
  <c r="K514" i="1"/>
  <c r="K513" i="1"/>
  <c r="K512" i="1"/>
  <c r="K511" i="1"/>
  <c r="K490" i="1"/>
  <c r="K489" i="1"/>
  <c r="K488" i="1"/>
  <c r="K487" i="1"/>
  <c r="K486" i="1"/>
  <c r="K485" i="1"/>
  <c r="K484" i="1"/>
  <c r="K483" i="1"/>
  <c r="K482" i="1"/>
  <c r="K461" i="1"/>
  <c r="K460" i="1"/>
  <c r="K459" i="1"/>
  <c r="K458" i="1"/>
  <c r="K457" i="1"/>
  <c r="K456" i="1"/>
  <c r="K455" i="1"/>
  <c r="K454" i="1"/>
  <c r="K453" i="1"/>
  <c r="K432" i="1"/>
  <c r="K431" i="1"/>
  <c r="K430" i="1"/>
  <c r="K429" i="1"/>
  <c r="K428" i="1"/>
  <c r="K427" i="1"/>
  <c r="K426" i="1"/>
  <c r="K425" i="1"/>
  <c r="K424" i="1"/>
  <c r="K403" i="1"/>
  <c r="K402" i="1"/>
  <c r="K401" i="1"/>
  <c r="K400" i="1"/>
  <c r="K399" i="1"/>
  <c r="K398" i="1"/>
  <c r="K397" i="1"/>
  <c r="K396" i="1"/>
  <c r="K395" i="1"/>
  <c r="K374" i="1"/>
  <c r="K373" i="1"/>
  <c r="K372" i="1"/>
  <c r="K371" i="1"/>
  <c r="K370" i="1"/>
  <c r="K369" i="1"/>
  <c r="K368" i="1"/>
  <c r="K367" i="1"/>
  <c r="K366" i="1"/>
  <c r="K345" i="1"/>
  <c r="K344" i="1"/>
  <c r="K343" i="1"/>
  <c r="K342" i="1"/>
  <c r="K341" i="1"/>
  <c r="K340" i="1"/>
  <c r="K339" i="1"/>
  <c r="K338" i="1"/>
  <c r="K337" i="1"/>
  <c r="K316" i="1"/>
  <c r="K315" i="1"/>
  <c r="K314" i="1"/>
  <c r="K313" i="1"/>
  <c r="K312" i="1"/>
  <c r="K311" i="1"/>
  <c r="K310" i="1"/>
  <c r="K309" i="1"/>
  <c r="K308" i="1"/>
  <c r="K287" i="1"/>
  <c r="K286" i="1"/>
  <c r="K285" i="1"/>
  <c r="K284" i="1"/>
  <c r="K283" i="1"/>
  <c r="K282" i="1"/>
  <c r="K281" i="1"/>
  <c r="K280" i="1"/>
  <c r="K279" i="1"/>
  <c r="K258" i="1"/>
  <c r="K257" i="1"/>
  <c r="K256" i="1"/>
  <c r="K255" i="1"/>
  <c r="K254" i="1"/>
  <c r="K253" i="1"/>
  <c r="K252" i="1"/>
  <c r="K251" i="1"/>
  <c r="K250" i="1"/>
  <c r="K229" i="1"/>
  <c r="K228" i="1"/>
  <c r="K227" i="1"/>
  <c r="K226" i="1"/>
  <c r="K225" i="1"/>
  <c r="K224" i="1"/>
  <c r="K223" i="1"/>
  <c r="K222" i="1"/>
  <c r="K221" i="1"/>
  <c r="K200" i="1"/>
  <c r="K199" i="1"/>
  <c r="K198" i="1"/>
  <c r="K197" i="1"/>
  <c r="K196" i="1"/>
  <c r="K195" i="1"/>
  <c r="K194" i="1"/>
  <c r="K193" i="1"/>
  <c r="K192" i="1"/>
  <c r="K171" i="1"/>
  <c r="K170" i="1"/>
  <c r="K169" i="1"/>
  <c r="K168" i="1"/>
  <c r="K167" i="1"/>
  <c r="K166" i="1"/>
  <c r="K165" i="1"/>
  <c r="K164" i="1"/>
  <c r="K163" i="1"/>
  <c r="K142" i="1"/>
  <c r="K141" i="1"/>
  <c r="K140" i="1"/>
  <c r="K139" i="1"/>
  <c r="K138" i="1"/>
  <c r="K137" i="1"/>
  <c r="K136" i="1"/>
  <c r="K135" i="1"/>
  <c r="K134" i="1"/>
  <c r="K113" i="1"/>
  <c r="K112" i="1"/>
  <c r="K111" i="1"/>
  <c r="K110" i="1"/>
  <c r="K109" i="1"/>
  <c r="K108" i="1"/>
  <c r="K107" i="1"/>
  <c r="K106" i="1"/>
  <c r="K105" i="1"/>
  <c r="K84" i="1"/>
  <c r="K83" i="1"/>
  <c r="K82" i="1"/>
  <c r="K81" i="1"/>
  <c r="K80" i="1"/>
  <c r="K79" i="1"/>
  <c r="K78" i="1"/>
  <c r="K77" i="1"/>
  <c r="K76" i="1"/>
  <c r="K55" i="1"/>
  <c r="K54" i="1"/>
  <c r="K53" i="1"/>
  <c r="K52" i="1"/>
  <c r="K51" i="1"/>
  <c r="K50" i="1"/>
  <c r="K49" i="1"/>
  <c r="K48" i="1"/>
  <c r="K47" i="1"/>
  <c r="K19" i="1"/>
  <c r="K20" i="1"/>
  <c r="K21" i="1"/>
  <c r="K22" i="1"/>
  <c r="K23" i="1"/>
  <c r="K24" i="1"/>
  <c r="K25" i="1"/>
  <c r="K26" i="1"/>
  <c r="Y18" i="1" l="1"/>
  <c r="K34" i="1"/>
  <c r="K33" i="1"/>
  <c r="K32" i="1"/>
  <c r="K585" i="1" l="1"/>
  <c r="Y585" i="1" s="1"/>
  <c r="K584" i="1"/>
  <c r="Y584" i="1" s="1"/>
  <c r="K583" i="1"/>
  <c r="Y583" i="1" s="1"/>
  <c r="W577" i="1"/>
  <c r="Y577" i="1" s="1"/>
  <c r="W576" i="1"/>
  <c r="Y576" i="1" s="1"/>
  <c r="W575" i="1"/>
  <c r="Y575" i="1" s="1"/>
  <c r="W574" i="1"/>
  <c r="Y574" i="1" s="1"/>
  <c r="W573" i="1"/>
  <c r="Y573" i="1" s="1"/>
  <c r="W572" i="1"/>
  <c r="Y572" i="1" s="1"/>
  <c r="W571" i="1"/>
  <c r="Y571" i="1" s="1"/>
  <c r="W570" i="1"/>
  <c r="Y570" i="1" s="1"/>
  <c r="AL569" i="1"/>
  <c r="AK569" i="1"/>
  <c r="AH569" i="1"/>
  <c r="AG569" i="1"/>
  <c r="AF569" i="1"/>
  <c r="AE569" i="1"/>
  <c r="W569" i="1"/>
  <c r="Y569" i="1" s="1"/>
  <c r="E566" i="1"/>
  <c r="K556" i="1"/>
  <c r="Y556" i="1" s="1"/>
  <c r="K555" i="1"/>
  <c r="Y555" i="1" s="1"/>
  <c r="K554" i="1"/>
  <c r="Y554" i="1" s="1"/>
  <c r="Y557" i="1" s="1"/>
  <c r="Y559" i="1" s="1"/>
  <c r="AJ540" i="1" s="1"/>
  <c r="W548" i="1"/>
  <c r="Y548" i="1" s="1"/>
  <c r="W547" i="1"/>
  <c r="Y547" i="1" s="1"/>
  <c r="W546" i="1"/>
  <c r="Y546" i="1" s="1"/>
  <c r="W545" i="1"/>
  <c r="Y545" i="1" s="1"/>
  <c r="W544" i="1"/>
  <c r="Y544" i="1" s="1"/>
  <c r="W543" i="1"/>
  <c r="Y543" i="1" s="1"/>
  <c r="W542" i="1"/>
  <c r="Y542" i="1" s="1"/>
  <c r="W541" i="1"/>
  <c r="Y541" i="1" s="1"/>
  <c r="AL540" i="1"/>
  <c r="AK540" i="1"/>
  <c r="AH540" i="1"/>
  <c r="AG540" i="1"/>
  <c r="AF540" i="1"/>
  <c r="AE540" i="1"/>
  <c r="W540" i="1"/>
  <c r="Y540" i="1" s="1"/>
  <c r="E537" i="1"/>
  <c r="K527" i="1"/>
  <c r="Y527" i="1" s="1"/>
  <c r="K526" i="1"/>
  <c r="Y526" i="1" s="1"/>
  <c r="K525" i="1"/>
  <c r="Y525" i="1" s="1"/>
  <c r="W519" i="1"/>
  <c r="Y519" i="1" s="1"/>
  <c r="W518" i="1"/>
  <c r="Y518" i="1" s="1"/>
  <c r="W517" i="1"/>
  <c r="Y517" i="1" s="1"/>
  <c r="W516" i="1"/>
  <c r="Y516" i="1" s="1"/>
  <c r="W515" i="1"/>
  <c r="Y515" i="1" s="1"/>
  <c r="W514" i="1"/>
  <c r="Y514" i="1" s="1"/>
  <c r="W513" i="1"/>
  <c r="Y513" i="1" s="1"/>
  <c r="W512" i="1"/>
  <c r="Y512" i="1" s="1"/>
  <c r="AL511" i="1"/>
  <c r="AK511" i="1"/>
  <c r="AH511" i="1"/>
  <c r="AG511" i="1"/>
  <c r="AF511" i="1"/>
  <c r="AE511" i="1"/>
  <c r="W511" i="1"/>
  <c r="Y511" i="1" s="1"/>
  <c r="E508" i="1"/>
  <c r="K498" i="1"/>
  <c r="Y498" i="1" s="1"/>
  <c r="K497" i="1"/>
  <c r="Y497" i="1" s="1"/>
  <c r="K496" i="1"/>
  <c r="Y496" i="1" s="1"/>
  <c r="W490" i="1"/>
  <c r="Y490" i="1" s="1"/>
  <c r="W489" i="1"/>
  <c r="Y489" i="1" s="1"/>
  <c r="W488" i="1"/>
  <c r="Y488" i="1" s="1"/>
  <c r="W487" i="1"/>
  <c r="Y487" i="1" s="1"/>
  <c r="W486" i="1"/>
  <c r="Y486" i="1" s="1"/>
  <c r="W485" i="1"/>
  <c r="Y485" i="1" s="1"/>
  <c r="W484" i="1"/>
  <c r="Y484" i="1" s="1"/>
  <c r="W483" i="1"/>
  <c r="Y483" i="1" s="1"/>
  <c r="AL482" i="1"/>
  <c r="AK482" i="1"/>
  <c r="AH482" i="1"/>
  <c r="AG482" i="1"/>
  <c r="AF482" i="1"/>
  <c r="AE482" i="1"/>
  <c r="W482" i="1"/>
  <c r="Y482" i="1" s="1"/>
  <c r="E479" i="1"/>
  <c r="K469" i="1"/>
  <c r="Y469" i="1" s="1"/>
  <c r="K468" i="1"/>
  <c r="Y468" i="1" s="1"/>
  <c r="K467" i="1"/>
  <c r="Y467" i="1" s="1"/>
  <c r="Y470" i="1" s="1"/>
  <c r="Y472" i="1" s="1"/>
  <c r="AJ453" i="1" s="1"/>
  <c r="W461" i="1"/>
  <c r="Y461" i="1" s="1"/>
  <c r="W460" i="1"/>
  <c r="Y460" i="1" s="1"/>
  <c r="W459" i="1"/>
  <c r="Y459" i="1" s="1"/>
  <c r="W458" i="1"/>
  <c r="Y458" i="1" s="1"/>
  <c r="W457" i="1"/>
  <c r="Y457" i="1" s="1"/>
  <c r="W456" i="1"/>
  <c r="Y456" i="1" s="1"/>
  <c r="W455" i="1"/>
  <c r="Y455" i="1" s="1"/>
  <c r="W454" i="1"/>
  <c r="Y454" i="1" s="1"/>
  <c r="AL453" i="1"/>
  <c r="AK453" i="1"/>
  <c r="AH453" i="1"/>
  <c r="AG453" i="1"/>
  <c r="AF453" i="1"/>
  <c r="AE453" i="1"/>
  <c r="W453" i="1"/>
  <c r="Y453" i="1" s="1"/>
  <c r="E450" i="1"/>
  <c r="K440" i="1"/>
  <c r="Y440" i="1" s="1"/>
  <c r="K439" i="1"/>
  <c r="Y439" i="1" s="1"/>
  <c r="K438" i="1"/>
  <c r="Y438" i="1" s="1"/>
  <c r="W432" i="1"/>
  <c r="Y432" i="1" s="1"/>
  <c r="W431" i="1"/>
  <c r="Y431" i="1" s="1"/>
  <c r="W430" i="1"/>
  <c r="Y430" i="1" s="1"/>
  <c r="W429" i="1"/>
  <c r="Y429" i="1" s="1"/>
  <c r="W428" i="1"/>
  <c r="Y428" i="1" s="1"/>
  <c r="W427" i="1"/>
  <c r="Y427" i="1" s="1"/>
  <c r="W426" i="1"/>
  <c r="Y426" i="1" s="1"/>
  <c r="W425" i="1"/>
  <c r="Y425" i="1" s="1"/>
  <c r="AL424" i="1"/>
  <c r="AK424" i="1"/>
  <c r="AH424" i="1"/>
  <c r="AG424" i="1"/>
  <c r="AF424" i="1"/>
  <c r="AE424" i="1"/>
  <c r="W424" i="1"/>
  <c r="Y424" i="1" s="1"/>
  <c r="E421" i="1"/>
  <c r="K411" i="1"/>
  <c r="Y411" i="1" s="1"/>
  <c r="K410" i="1"/>
  <c r="Y410" i="1" s="1"/>
  <c r="K409" i="1"/>
  <c r="Y409" i="1" s="1"/>
  <c r="W403" i="1"/>
  <c r="Y403" i="1" s="1"/>
  <c r="W402" i="1"/>
  <c r="Y402" i="1" s="1"/>
  <c r="W401" i="1"/>
  <c r="Y401" i="1" s="1"/>
  <c r="W400" i="1"/>
  <c r="Y400" i="1" s="1"/>
  <c r="W399" i="1"/>
  <c r="Y399" i="1" s="1"/>
  <c r="W398" i="1"/>
  <c r="Y398" i="1" s="1"/>
  <c r="W397" i="1"/>
  <c r="Y397" i="1" s="1"/>
  <c r="W396" i="1"/>
  <c r="Y396" i="1" s="1"/>
  <c r="AL395" i="1"/>
  <c r="AK395" i="1"/>
  <c r="AH395" i="1"/>
  <c r="AG395" i="1"/>
  <c r="AF395" i="1"/>
  <c r="AE395" i="1"/>
  <c r="W395" i="1"/>
  <c r="Y395" i="1" s="1"/>
  <c r="E392" i="1"/>
  <c r="K382" i="1"/>
  <c r="Y382" i="1" s="1"/>
  <c r="K381" i="1"/>
  <c r="Y381" i="1" s="1"/>
  <c r="K380" i="1"/>
  <c r="Y380" i="1" s="1"/>
  <c r="W374" i="1"/>
  <c r="Y374" i="1" s="1"/>
  <c r="W373" i="1"/>
  <c r="Y373" i="1" s="1"/>
  <c r="W372" i="1"/>
  <c r="Y372" i="1" s="1"/>
  <c r="W371" i="1"/>
  <c r="Y371" i="1" s="1"/>
  <c r="W370" i="1"/>
  <c r="Y370" i="1" s="1"/>
  <c r="W369" i="1"/>
  <c r="Y369" i="1" s="1"/>
  <c r="W368" i="1"/>
  <c r="Y368" i="1" s="1"/>
  <c r="W367" i="1"/>
  <c r="Y367" i="1" s="1"/>
  <c r="AL366" i="1"/>
  <c r="AK366" i="1"/>
  <c r="AH366" i="1"/>
  <c r="AG366" i="1"/>
  <c r="AF366" i="1"/>
  <c r="AE366" i="1"/>
  <c r="W366" i="1"/>
  <c r="Y366" i="1" s="1"/>
  <c r="E363" i="1"/>
  <c r="K353" i="1"/>
  <c r="Y353" i="1" s="1"/>
  <c r="K352" i="1"/>
  <c r="Y352" i="1" s="1"/>
  <c r="K351" i="1"/>
  <c r="Y351" i="1" s="1"/>
  <c r="W345" i="1"/>
  <c r="Y345" i="1" s="1"/>
  <c r="W344" i="1"/>
  <c r="Y344" i="1" s="1"/>
  <c r="W343" i="1"/>
  <c r="Y343" i="1" s="1"/>
  <c r="W342" i="1"/>
  <c r="Y342" i="1" s="1"/>
  <c r="W341" i="1"/>
  <c r="Y341" i="1" s="1"/>
  <c r="W340" i="1"/>
  <c r="Y340" i="1" s="1"/>
  <c r="W339" i="1"/>
  <c r="Y339" i="1" s="1"/>
  <c r="W338" i="1"/>
  <c r="Y338" i="1" s="1"/>
  <c r="AL337" i="1"/>
  <c r="AK337" i="1"/>
  <c r="AH337" i="1"/>
  <c r="AG337" i="1"/>
  <c r="AF337" i="1"/>
  <c r="AE337" i="1"/>
  <c r="W337" i="1"/>
  <c r="Y337" i="1" s="1"/>
  <c r="E334" i="1"/>
  <c r="K324" i="1"/>
  <c r="Y324" i="1" s="1"/>
  <c r="K323" i="1"/>
  <c r="Y323" i="1" s="1"/>
  <c r="K322" i="1"/>
  <c r="Y322" i="1" s="1"/>
  <c r="Y325" i="1" s="1"/>
  <c r="Y327" i="1" s="1"/>
  <c r="AJ308" i="1" s="1"/>
  <c r="W316" i="1"/>
  <c r="Y316" i="1" s="1"/>
  <c r="W315" i="1"/>
  <c r="Y315" i="1" s="1"/>
  <c r="W314" i="1"/>
  <c r="Y314" i="1" s="1"/>
  <c r="W313" i="1"/>
  <c r="Y313" i="1" s="1"/>
  <c r="W312" i="1"/>
  <c r="Y312" i="1" s="1"/>
  <c r="W311" i="1"/>
  <c r="Y311" i="1" s="1"/>
  <c r="W310" i="1"/>
  <c r="Y310" i="1" s="1"/>
  <c r="W309" i="1"/>
  <c r="Y309" i="1" s="1"/>
  <c r="AL308" i="1"/>
  <c r="AK308" i="1"/>
  <c r="AH308" i="1"/>
  <c r="AG308" i="1"/>
  <c r="AF308" i="1"/>
  <c r="AE308" i="1"/>
  <c r="W308" i="1"/>
  <c r="Y308" i="1" s="1"/>
  <c r="E305" i="1"/>
  <c r="K295" i="1"/>
  <c r="Y295" i="1" s="1"/>
  <c r="K294" i="1"/>
  <c r="Y294" i="1" s="1"/>
  <c r="K293" i="1"/>
  <c r="Y293" i="1" s="1"/>
  <c r="W287" i="1"/>
  <c r="Y287" i="1" s="1"/>
  <c r="W286" i="1"/>
  <c r="Y286" i="1" s="1"/>
  <c r="W285" i="1"/>
  <c r="Y285" i="1" s="1"/>
  <c r="W284" i="1"/>
  <c r="Y284" i="1" s="1"/>
  <c r="W283" i="1"/>
  <c r="Y283" i="1" s="1"/>
  <c r="W282" i="1"/>
  <c r="Y282" i="1" s="1"/>
  <c r="W281" i="1"/>
  <c r="Y281" i="1" s="1"/>
  <c r="W280" i="1"/>
  <c r="Y280" i="1" s="1"/>
  <c r="AL279" i="1"/>
  <c r="AK279" i="1"/>
  <c r="AH279" i="1"/>
  <c r="AG279" i="1"/>
  <c r="AF279" i="1"/>
  <c r="AE279" i="1"/>
  <c r="W279" i="1"/>
  <c r="Y279" i="1" s="1"/>
  <c r="E276" i="1"/>
  <c r="K266" i="1"/>
  <c r="Y266" i="1" s="1"/>
  <c r="K265" i="1"/>
  <c r="Y265" i="1" s="1"/>
  <c r="K264" i="1"/>
  <c r="Y264" i="1" s="1"/>
  <c r="W258" i="1"/>
  <c r="Y258" i="1" s="1"/>
  <c r="W257" i="1"/>
  <c r="Y257" i="1" s="1"/>
  <c r="W256" i="1"/>
  <c r="Y256" i="1" s="1"/>
  <c r="W255" i="1"/>
  <c r="Y255" i="1" s="1"/>
  <c r="W254" i="1"/>
  <c r="Y254" i="1" s="1"/>
  <c r="W253" i="1"/>
  <c r="Y253" i="1" s="1"/>
  <c r="W252" i="1"/>
  <c r="Y252" i="1" s="1"/>
  <c r="W251" i="1"/>
  <c r="Y251" i="1" s="1"/>
  <c r="AL250" i="1"/>
  <c r="AK250" i="1"/>
  <c r="AH250" i="1"/>
  <c r="AG250" i="1"/>
  <c r="AF250" i="1"/>
  <c r="AE250" i="1"/>
  <c r="W250" i="1"/>
  <c r="Y250" i="1" s="1"/>
  <c r="E247" i="1"/>
  <c r="K237" i="1"/>
  <c r="Y237" i="1" s="1"/>
  <c r="K236" i="1"/>
  <c r="Y236" i="1" s="1"/>
  <c r="K235" i="1"/>
  <c r="Y235" i="1" s="1"/>
  <c r="W229" i="1"/>
  <c r="Y229" i="1" s="1"/>
  <c r="W228" i="1"/>
  <c r="Y228" i="1" s="1"/>
  <c r="W227" i="1"/>
  <c r="Y227" i="1" s="1"/>
  <c r="W226" i="1"/>
  <c r="Y226" i="1" s="1"/>
  <c r="W225" i="1"/>
  <c r="Y225" i="1" s="1"/>
  <c r="W224" i="1"/>
  <c r="Y224" i="1" s="1"/>
  <c r="W223" i="1"/>
  <c r="Y223" i="1" s="1"/>
  <c r="W222" i="1"/>
  <c r="Y222" i="1" s="1"/>
  <c r="AL221" i="1"/>
  <c r="AK221" i="1"/>
  <c r="AH221" i="1"/>
  <c r="AG221" i="1"/>
  <c r="AF221" i="1"/>
  <c r="AE221" i="1"/>
  <c r="W221" i="1"/>
  <c r="Y221" i="1" s="1"/>
  <c r="E218" i="1"/>
  <c r="W200" i="1"/>
  <c r="Y200" i="1" s="1"/>
  <c r="W199" i="1"/>
  <c r="Y199" i="1" s="1"/>
  <c r="W198" i="1"/>
  <c r="Y198" i="1" s="1"/>
  <c r="W197" i="1"/>
  <c r="Y197" i="1" s="1"/>
  <c r="W196" i="1"/>
  <c r="Y196" i="1" s="1"/>
  <c r="W195" i="1"/>
  <c r="Y195" i="1" s="1"/>
  <c r="W194" i="1"/>
  <c r="Y194" i="1" s="1"/>
  <c r="W193" i="1"/>
  <c r="Y193" i="1" s="1"/>
  <c r="W192" i="1"/>
  <c r="Y192" i="1" s="1"/>
  <c r="W171" i="1"/>
  <c r="Y171" i="1" s="1"/>
  <c r="W170" i="1"/>
  <c r="Y170" i="1" s="1"/>
  <c r="W169" i="1"/>
  <c r="Y169" i="1" s="1"/>
  <c r="W168" i="1"/>
  <c r="Y168" i="1" s="1"/>
  <c r="W167" i="1"/>
  <c r="Y167" i="1" s="1"/>
  <c r="W166" i="1"/>
  <c r="Y166" i="1" s="1"/>
  <c r="W165" i="1"/>
  <c r="Y165" i="1" s="1"/>
  <c r="W164" i="1"/>
  <c r="Y164" i="1" s="1"/>
  <c r="W163" i="1"/>
  <c r="Y163" i="1" s="1"/>
  <c r="W142" i="1"/>
  <c r="Y142" i="1" s="1"/>
  <c r="W141" i="1"/>
  <c r="Y141" i="1" s="1"/>
  <c r="W140" i="1"/>
  <c r="Y140" i="1" s="1"/>
  <c r="W139" i="1"/>
  <c r="Y139" i="1" s="1"/>
  <c r="W138" i="1"/>
  <c r="Y138" i="1" s="1"/>
  <c r="W137" i="1"/>
  <c r="Y137" i="1" s="1"/>
  <c r="W136" i="1"/>
  <c r="Y136" i="1" s="1"/>
  <c r="W135" i="1"/>
  <c r="Y135" i="1" s="1"/>
  <c r="W134" i="1"/>
  <c r="Y134" i="1" s="1"/>
  <c r="W113" i="1"/>
  <c r="Y113" i="1" s="1"/>
  <c r="W112" i="1"/>
  <c r="Y112" i="1" s="1"/>
  <c r="W111" i="1"/>
  <c r="Y111" i="1" s="1"/>
  <c r="W110" i="1"/>
  <c r="Y110" i="1" s="1"/>
  <c r="W109" i="1"/>
  <c r="Y109" i="1" s="1"/>
  <c r="W108" i="1"/>
  <c r="Y108" i="1" s="1"/>
  <c r="W107" i="1"/>
  <c r="Y107" i="1" s="1"/>
  <c r="W106" i="1"/>
  <c r="Y106" i="1" s="1"/>
  <c r="W105" i="1"/>
  <c r="Y105" i="1" s="1"/>
  <c r="W84" i="1"/>
  <c r="Y84" i="1" s="1"/>
  <c r="W83" i="1"/>
  <c r="Y83" i="1" s="1"/>
  <c r="W82" i="1"/>
  <c r="Y82" i="1" s="1"/>
  <c r="W81" i="1"/>
  <c r="W80" i="1"/>
  <c r="Y80" i="1" s="1"/>
  <c r="W79" i="1"/>
  <c r="Y79" i="1" s="1"/>
  <c r="W78" i="1"/>
  <c r="Y78" i="1" s="1"/>
  <c r="W77" i="1"/>
  <c r="Y77" i="1" s="1"/>
  <c r="W76" i="1"/>
  <c r="Y76" i="1" s="1"/>
  <c r="W55" i="1"/>
  <c r="W54" i="1"/>
  <c r="W53" i="1"/>
  <c r="W52" i="1"/>
  <c r="W51" i="1"/>
  <c r="W50" i="1"/>
  <c r="W49" i="1"/>
  <c r="W48" i="1"/>
  <c r="W47" i="1"/>
  <c r="W19" i="1"/>
  <c r="W20" i="1"/>
  <c r="W21" i="1"/>
  <c r="W22" i="1"/>
  <c r="W23" i="1"/>
  <c r="W24" i="1"/>
  <c r="W25" i="1"/>
  <c r="W26" i="1"/>
  <c r="W18" i="1"/>
  <c r="E189" i="1"/>
  <c r="E160" i="1"/>
  <c r="E131" i="1"/>
  <c r="E102" i="1"/>
  <c r="E73" i="1"/>
  <c r="E44" i="1"/>
  <c r="AD19" i="1"/>
  <c r="AD20" i="1"/>
  <c r="AD21" i="1"/>
  <c r="AD22" i="1"/>
  <c r="AD23" i="1"/>
  <c r="AD24" i="1"/>
  <c r="AD25" i="1"/>
  <c r="AD26" i="1"/>
  <c r="AD18" i="1"/>
  <c r="E15" i="1"/>
  <c r="Y383" i="1" l="1"/>
  <c r="Y385" i="1" s="1"/>
  <c r="AJ366" i="1" s="1"/>
  <c r="Y586" i="1"/>
  <c r="Y588" i="1" s="1"/>
  <c r="AJ569" i="1" s="1"/>
  <c r="Y296" i="1"/>
  <c r="Y298" i="1" s="1"/>
  <c r="AJ279" i="1" s="1"/>
  <c r="Y433" i="1"/>
  <c r="Y436" i="1" s="1"/>
  <c r="Y441" i="1"/>
  <c r="Y443" i="1" s="1"/>
  <c r="AJ424" i="1" s="1"/>
  <c r="Y259" i="1"/>
  <c r="Y262" i="1" s="1"/>
  <c r="AI250" i="1" s="1"/>
  <c r="Y499" i="1"/>
  <c r="Y501" i="1" s="1"/>
  <c r="AJ482" i="1" s="1"/>
  <c r="Y267" i="1"/>
  <c r="Y269" i="1" s="1"/>
  <c r="Y520" i="1"/>
  <c r="Y523" i="1" s="1"/>
  <c r="Y528" i="1"/>
  <c r="Y530" i="1" s="1"/>
  <c r="AJ511" i="1" s="1"/>
  <c r="Y81" i="1"/>
  <c r="Y85" i="1" s="1"/>
  <c r="Y354" i="1"/>
  <c r="Y356" i="1" s="1"/>
  <c r="AJ337" i="1" s="1"/>
  <c r="Y578" i="1"/>
  <c r="Y581" i="1" s="1"/>
  <c r="Y549" i="1"/>
  <c r="Y552" i="1" s="1"/>
  <c r="AC540" i="1" s="1"/>
  <c r="Y491" i="1"/>
  <c r="Y494" i="1" s="1"/>
  <c r="AC482" i="1" s="1"/>
  <c r="Y462" i="1"/>
  <c r="Y465" i="1" s="1"/>
  <c r="AC453" i="1" s="1"/>
  <c r="AI424" i="1"/>
  <c r="Y404" i="1"/>
  <c r="Y407" i="1" s="1"/>
  <c r="Y412" i="1"/>
  <c r="Y414" i="1" s="1"/>
  <c r="AJ395" i="1" s="1"/>
  <c r="Y375" i="1"/>
  <c r="Y378" i="1" s="1"/>
  <c r="AC366" i="1" s="1"/>
  <c r="Y346" i="1"/>
  <c r="Y349" i="1" s="1"/>
  <c r="Y317" i="1"/>
  <c r="Y320" i="1" s="1"/>
  <c r="AC308" i="1" s="1"/>
  <c r="Y288" i="1"/>
  <c r="Y291" i="1" s="1"/>
  <c r="AC279" i="1" s="1"/>
  <c r="Y230" i="1"/>
  <c r="Y233" i="1" s="1"/>
  <c r="Y238" i="1"/>
  <c r="Y240" i="1" s="1"/>
  <c r="AJ221" i="1" s="1"/>
  <c r="Y201" i="1"/>
  <c r="Y172" i="1"/>
  <c r="Y143" i="1"/>
  <c r="Y114" i="1"/>
  <c r="K208" i="1"/>
  <c r="K207" i="1"/>
  <c r="K206" i="1"/>
  <c r="K179" i="1"/>
  <c r="K178" i="1"/>
  <c r="K177" i="1"/>
  <c r="K150" i="1"/>
  <c r="K149" i="1"/>
  <c r="K148" i="1"/>
  <c r="K121" i="1"/>
  <c r="K120" i="1"/>
  <c r="K119" i="1"/>
  <c r="K92" i="1"/>
  <c r="K91" i="1"/>
  <c r="K90" i="1"/>
  <c r="K63" i="1"/>
  <c r="K62" i="1"/>
  <c r="K61" i="1"/>
  <c r="AC337" i="1" l="1"/>
  <c r="AC511" i="1"/>
  <c r="AM511" i="1" s="1"/>
  <c r="AJ250" i="1"/>
  <c r="AC250" i="1"/>
  <c r="AM250" i="1" s="1"/>
  <c r="AC395" i="1"/>
  <c r="AC424" i="1"/>
  <c r="AM424" i="1" s="1"/>
  <c r="AC221" i="1"/>
  <c r="AC569" i="1"/>
  <c r="AI511" i="1"/>
  <c r="AI569" i="1"/>
  <c r="AI540" i="1"/>
  <c r="AI482" i="1"/>
  <c r="AI453" i="1"/>
  <c r="AI395" i="1"/>
  <c r="AI366" i="1"/>
  <c r="AI337" i="1"/>
  <c r="AI308" i="1"/>
  <c r="AI279" i="1"/>
  <c r="AI221" i="1"/>
  <c r="Y90" i="1"/>
  <c r="Y91" i="1"/>
  <c r="Y92" i="1"/>
  <c r="Y208" i="1"/>
  <c r="Y117" i="1"/>
  <c r="Y146" i="1"/>
  <c r="Y175" i="1"/>
  <c r="Y204" i="1"/>
  <c r="Y149" i="1"/>
  <c r="Y178" i="1"/>
  <c r="Y206" i="1"/>
  <c r="Y207" i="1"/>
  <c r="Y119" i="1"/>
  <c r="Y120" i="1"/>
  <c r="Y121" i="1"/>
  <c r="Y148" i="1"/>
  <c r="Y88" i="1"/>
  <c r="Y150" i="1"/>
  <c r="Y177" i="1"/>
  <c r="Y179" i="1"/>
  <c r="AL192" i="1"/>
  <c r="AK192" i="1"/>
  <c r="AH192" i="1"/>
  <c r="AG192" i="1"/>
  <c r="AF192" i="1"/>
  <c r="AE192" i="1"/>
  <c r="AL163" i="1"/>
  <c r="AK163" i="1"/>
  <c r="AH163" i="1"/>
  <c r="AG163" i="1"/>
  <c r="AF163" i="1"/>
  <c r="AE163" i="1"/>
  <c r="AL134" i="1"/>
  <c r="AK134" i="1"/>
  <c r="AH134" i="1"/>
  <c r="AG134" i="1"/>
  <c r="AF134" i="1"/>
  <c r="AE134" i="1"/>
  <c r="AL105" i="1"/>
  <c r="AK105" i="1"/>
  <c r="AH105" i="1"/>
  <c r="AG105" i="1"/>
  <c r="AF105" i="1"/>
  <c r="AE105" i="1"/>
  <c r="AL76" i="1"/>
  <c r="AK76" i="1"/>
  <c r="AH76" i="1"/>
  <c r="AG76" i="1"/>
  <c r="AF76" i="1"/>
  <c r="AE76" i="1"/>
  <c r="AL47" i="1"/>
  <c r="AK47" i="1"/>
  <c r="AH47" i="1"/>
  <c r="AG47" i="1"/>
  <c r="AF47" i="1"/>
  <c r="AE47" i="1"/>
  <c r="AL18" i="1"/>
  <c r="AK18" i="1"/>
  <c r="AM569" i="1" l="1"/>
  <c r="AM540" i="1"/>
  <c r="AM482" i="1"/>
  <c r="AM453" i="1"/>
  <c r="AM395" i="1"/>
  <c r="AM366" i="1"/>
  <c r="AM337" i="1"/>
  <c r="AM308" i="1"/>
  <c r="AM279" i="1"/>
  <c r="AM221" i="1"/>
  <c r="Y209" i="1"/>
  <c r="Y151" i="1"/>
  <c r="Y122" i="1"/>
  <c r="Y180" i="1"/>
  <c r="Y93" i="1"/>
  <c r="G5" i="5"/>
  <c r="B5" i="5"/>
  <c r="B3" i="5"/>
  <c r="B2" i="5"/>
  <c r="B1" i="5"/>
  <c r="H5" i="3"/>
  <c r="B5" i="3"/>
  <c r="B3" i="3"/>
  <c r="B1" i="3"/>
  <c r="B2" i="3"/>
  <c r="AH18" i="1"/>
  <c r="AG18" i="1"/>
  <c r="AF18" i="1"/>
  <c r="AE18" i="1"/>
  <c r="Y63" i="1"/>
  <c r="Y62" i="1"/>
  <c r="Y55" i="1"/>
  <c r="Y54" i="1"/>
  <c r="Y53" i="1"/>
  <c r="Y52" i="1"/>
  <c r="Y51" i="1"/>
  <c r="Y50" i="1"/>
  <c r="Y49" i="1"/>
  <c r="Y48" i="1"/>
  <c r="Y47" i="1"/>
  <c r="Y33" i="1"/>
  <c r="Y34" i="1"/>
  <c r="Y21" i="1"/>
  <c r="Y22" i="1"/>
  <c r="Y23" i="1"/>
  <c r="Y24" i="1"/>
  <c r="Y25" i="1"/>
  <c r="Y26" i="1"/>
  <c r="Y95" i="1" l="1"/>
  <c r="Y182" i="1"/>
  <c r="Y124" i="1"/>
  <c r="Y211" i="1"/>
  <c r="Y153" i="1"/>
  <c r="AC134" i="1" s="1"/>
  <c r="Y20" i="1"/>
  <c r="Y19" i="1"/>
  <c r="Y32" i="1"/>
  <c r="Y35" i="1" s="1"/>
  <c r="Y61" i="1"/>
  <c r="Y64" i="1" s="1"/>
  <c r="AJ192" i="1" l="1"/>
  <c r="AC192" i="1"/>
  <c r="AJ105" i="1"/>
  <c r="AC105" i="1"/>
  <c r="AJ163" i="1"/>
  <c r="AC163" i="1"/>
  <c r="AJ76" i="1"/>
  <c r="AC76" i="1"/>
  <c r="Y66" i="1"/>
  <c r="AJ134" i="1"/>
  <c r="Y37" i="1"/>
  <c r="Y56" i="1"/>
  <c r="Y27" i="1"/>
  <c r="Y30" i="1" l="1"/>
  <c r="AC18" i="1" s="1"/>
  <c r="AJ47" i="1"/>
  <c r="Y59" i="1"/>
  <c r="AC47" i="1" s="1"/>
  <c r="AJ18" i="1"/>
  <c r="AM192" i="1"/>
  <c r="AI192" i="1"/>
  <c r="AM105" i="1"/>
  <c r="AI105" i="1"/>
  <c r="AM134" i="1"/>
  <c r="AI134" i="1"/>
  <c r="AM163" i="1"/>
  <c r="AI163" i="1"/>
  <c r="AM76" i="1"/>
  <c r="AI76" i="1"/>
  <c r="AI18" i="1" l="1"/>
  <c r="AI47" i="1"/>
  <c r="A453" i="1" l="1"/>
  <c r="A105" i="1"/>
  <c r="A424" i="1"/>
  <c r="A76" i="1"/>
  <c r="A221" i="1"/>
  <c r="A395" i="1"/>
  <c r="A47" i="1"/>
  <c r="A366" i="1"/>
  <c r="A18" i="1"/>
  <c r="A337" i="1"/>
  <c r="A308" i="1"/>
  <c r="A279" i="1"/>
  <c r="A250" i="1"/>
  <c r="A569" i="1"/>
  <c r="A540" i="1"/>
  <c r="A192" i="1"/>
  <c r="A511" i="1"/>
  <c r="A482" i="1"/>
  <c r="A163" i="1"/>
  <c r="A134" i="1"/>
  <c r="AM18" i="1"/>
  <c r="AM47" i="1"/>
  <c r="C17" i="3" l="1"/>
  <c r="C29" i="3"/>
  <c r="C18" i="3"/>
  <c r="C32" i="3"/>
  <c r="C21" i="3"/>
  <c r="C33" i="3"/>
  <c r="C22" i="3"/>
  <c r="C34" i="3"/>
  <c r="C23" i="3"/>
  <c r="C16" i="3"/>
  <c r="C24" i="3"/>
  <c r="C25" i="3"/>
  <c r="C26" i="3"/>
  <c r="C27" i="3"/>
  <c r="C28" i="3"/>
  <c r="C30" i="3"/>
  <c r="C19" i="3"/>
  <c r="C31" i="3"/>
  <c r="C20" i="3"/>
  <c r="D51" i="5"/>
  <c r="D39" i="5"/>
  <c r="D27" i="5"/>
  <c r="K54" i="5"/>
  <c r="F50" i="5"/>
  <c r="M44" i="5"/>
  <c r="H40" i="5"/>
  <c r="K35" i="5"/>
  <c r="K30" i="5"/>
  <c r="F26" i="5"/>
  <c r="M20" i="5"/>
  <c r="H16" i="5"/>
  <c r="C52" i="5"/>
  <c r="C28" i="5"/>
  <c r="D50" i="5"/>
  <c r="D38" i="5"/>
  <c r="D26" i="5"/>
  <c r="H54" i="5"/>
  <c r="K49" i="5"/>
  <c r="K44" i="5"/>
  <c r="F40" i="5"/>
  <c r="M34" i="5"/>
  <c r="H30" i="5"/>
  <c r="K25" i="5"/>
  <c r="K20" i="5"/>
  <c r="F16" i="5"/>
  <c r="C50" i="5"/>
  <c r="C26" i="5"/>
  <c r="D49" i="5"/>
  <c r="D37" i="5"/>
  <c r="D25" i="5"/>
  <c r="F54" i="5"/>
  <c r="M48" i="5"/>
  <c r="H44" i="5"/>
  <c r="K39" i="5"/>
  <c r="K34" i="5"/>
  <c r="F30" i="5"/>
  <c r="M24" i="5"/>
  <c r="H20" i="5"/>
  <c r="D17" i="5"/>
  <c r="C48" i="5"/>
  <c r="C24" i="5"/>
  <c r="D48" i="5"/>
  <c r="D36" i="5"/>
  <c r="D24" i="5"/>
  <c r="K53" i="5"/>
  <c r="K48" i="5"/>
  <c r="F44" i="5"/>
  <c r="M38" i="5"/>
  <c r="H34" i="5"/>
  <c r="K29" i="5"/>
  <c r="K24" i="5"/>
  <c r="F20" i="5"/>
  <c r="D16" i="5"/>
  <c r="C46" i="5"/>
  <c r="C22" i="5"/>
  <c r="D47" i="5"/>
  <c r="D35" i="5"/>
  <c r="D23" i="5"/>
  <c r="M52" i="5"/>
  <c r="H48" i="5"/>
  <c r="K43" i="5"/>
  <c r="K38" i="5"/>
  <c r="F34" i="5"/>
  <c r="M28" i="5"/>
  <c r="H24" i="5"/>
  <c r="K19" i="5"/>
  <c r="C44" i="5"/>
  <c r="C20" i="5"/>
  <c r="D46" i="5"/>
  <c r="D34" i="5"/>
  <c r="D22" i="5"/>
  <c r="K52" i="5"/>
  <c r="F48" i="5"/>
  <c r="M42" i="5"/>
  <c r="H38" i="5"/>
  <c r="K33" i="5"/>
  <c r="K28" i="5"/>
  <c r="F24" i="5"/>
  <c r="D55" i="5"/>
  <c r="D31" i="5"/>
  <c r="K51" i="5"/>
  <c r="F42" i="5"/>
  <c r="H32" i="5"/>
  <c r="K22" i="5"/>
  <c r="C54" i="5"/>
  <c r="D19" i="5"/>
  <c r="K36" i="5"/>
  <c r="H36" i="5"/>
  <c r="H26" i="5"/>
  <c r="M32" i="5"/>
  <c r="D54" i="5"/>
  <c r="D30" i="5"/>
  <c r="M50" i="5"/>
  <c r="K41" i="5"/>
  <c r="F32" i="5"/>
  <c r="H22" i="5"/>
  <c r="C42" i="5"/>
  <c r="K46" i="5"/>
  <c r="C32" i="5"/>
  <c r="D42" i="5"/>
  <c r="M26" i="5"/>
  <c r="F18" i="5"/>
  <c r="C30" i="5"/>
  <c r="D41" i="5"/>
  <c r="K26" i="5"/>
  <c r="M16" i="5"/>
  <c r="C18" i="5"/>
  <c r="D40" i="5"/>
  <c r="K45" i="5"/>
  <c r="K17" i="5"/>
  <c r="C55" i="5"/>
  <c r="D33" i="5"/>
  <c r="K42" i="5"/>
  <c r="K23" i="5"/>
  <c r="C16" i="5"/>
  <c r="D32" i="5"/>
  <c r="H42" i="5"/>
  <c r="M22" i="5"/>
  <c r="D53" i="5"/>
  <c r="D29" i="5"/>
  <c r="K50" i="5"/>
  <c r="M40" i="5"/>
  <c r="K31" i="5"/>
  <c r="F22" i="5"/>
  <c r="C40" i="5"/>
  <c r="D45" i="5"/>
  <c r="D21" i="5"/>
  <c r="K47" i="5"/>
  <c r="H28" i="5"/>
  <c r="M18" i="5"/>
  <c r="C36" i="5"/>
  <c r="D20" i="5"/>
  <c r="M46" i="5"/>
  <c r="K37" i="5"/>
  <c r="K18" i="5"/>
  <c r="C34" i="5"/>
  <c r="D43" i="5"/>
  <c r="K27" i="5"/>
  <c r="H18" i="5"/>
  <c r="D18" i="5"/>
  <c r="K55" i="5"/>
  <c r="M54" i="5"/>
  <c r="H52" i="5"/>
  <c r="C35" i="3"/>
  <c r="F52" i="5"/>
  <c r="D52" i="5"/>
  <c r="D28" i="5"/>
  <c r="H50" i="5"/>
  <c r="K40" i="5"/>
  <c r="M30" i="5"/>
  <c r="K21" i="5"/>
  <c r="C38" i="5"/>
  <c r="F38" i="5"/>
  <c r="D44" i="5"/>
  <c r="F28" i="5"/>
  <c r="M36" i="5"/>
  <c r="H46" i="5"/>
  <c r="F46" i="5"/>
  <c r="F36" i="5"/>
  <c r="K16" i="5"/>
  <c r="K32" i="5"/>
  <c r="I34" i="3"/>
  <c r="L20" i="3"/>
  <c r="E17" i="3"/>
  <c r="E19" i="3"/>
  <c r="E21" i="3"/>
  <c r="E23" i="3"/>
  <c r="E25" i="3"/>
  <c r="E27" i="3"/>
  <c r="E29" i="3"/>
  <c r="E31" i="3"/>
  <c r="E33" i="3"/>
  <c r="E35" i="3"/>
  <c r="E20" i="3"/>
  <c r="G20" i="3"/>
  <c r="J34" i="3"/>
  <c r="G17" i="3"/>
  <c r="G19" i="3"/>
  <c r="G21" i="3"/>
  <c r="G23" i="3"/>
  <c r="G25" i="3"/>
  <c r="G27" i="3"/>
  <c r="G29" i="3"/>
  <c r="G31" i="3"/>
  <c r="G33" i="3"/>
  <c r="G35" i="3"/>
  <c r="I16" i="3"/>
  <c r="E22" i="3"/>
  <c r="G22" i="3"/>
  <c r="I17" i="3"/>
  <c r="I19" i="3"/>
  <c r="I21" i="3"/>
  <c r="I23" i="3"/>
  <c r="I25" i="3"/>
  <c r="I27" i="3"/>
  <c r="I29" i="3"/>
  <c r="I31" i="3"/>
  <c r="I33" i="3"/>
  <c r="I35" i="3"/>
  <c r="J17" i="3"/>
  <c r="J21" i="3"/>
  <c r="J23" i="3"/>
  <c r="J25" i="3"/>
  <c r="J27" i="3"/>
  <c r="J29" i="3"/>
  <c r="J31" i="3"/>
  <c r="J33" i="3"/>
  <c r="J35" i="3"/>
  <c r="L17" i="3"/>
  <c r="L19" i="3"/>
  <c r="L21" i="3"/>
  <c r="L23" i="3"/>
  <c r="L25" i="3"/>
  <c r="L27" i="3"/>
  <c r="L29" i="3"/>
  <c r="L31" i="3"/>
  <c r="L33" i="3"/>
  <c r="L35" i="3"/>
  <c r="E18" i="3"/>
  <c r="E26" i="3"/>
  <c r="E28" i="3"/>
  <c r="E30" i="3"/>
  <c r="E32" i="3"/>
  <c r="E34" i="3"/>
  <c r="E16" i="3"/>
  <c r="G18" i="3"/>
  <c r="G24" i="3"/>
  <c r="G28" i="3"/>
  <c r="G30" i="3"/>
  <c r="G32" i="3"/>
  <c r="G34" i="3"/>
  <c r="G16" i="3"/>
  <c r="I18" i="3"/>
  <c r="I20" i="3"/>
  <c r="I22" i="3"/>
  <c r="I24" i="3"/>
  <c r="I26" i="3"/>
  <c r="I28" i="3"/>
  <c r="I30" i="3"/>
  <c r="I32" i="3"/>
  <c r="J16" i="3"/>
  <c r="J18" i="3"/>
  <c r="J20" i="3"/>
  <c r="J22" i="3"/>
  <c r="J24" i="3"/>
  <c r="J26" i="3"/>
  <c r="J28" i="3"/>
  <c r="J32" i="3"/>
  <c r="L16" i="3"/>
  <c r="L18" i="3"/>
  <c r="L22" i="3"/>
  <c r="L24" i="3"/>
  <c r="L26" i="3"/>
  <c r="L28" i="3"/>
  <c r="L30" i="3"/>
  <c r="L32" i="3"/>
  <c r="L34" i="3"/>
  <c r="J19" i="3"/>
  <c r="E24" i="3"/>
  <c r="G26" i="3"/>
  <c r="J30" i="3"/>
  <c r="F56" i="5"/>
  <c r="J36" i="3"/>
  <c r="M56" i="5"/>
  <c r="C57" i="5"/>
  <c r="M57" i="5"/>
  <c r="L36" i="3"/>
  <c r="C36" i="3"/>
  <c r="F57" i="5"/>
  <c r="K56" i="5"/>
  <c r="C56" i="5"/>
  <c r="E36" i="3"/>
  <c r="K57" i="5"/>
  <c r="H57" i="5"/>
  <c r="H56" i="5"/>
  <c r="I36" i="3"/>
  <c r="G36" i="3"/>
</calcChain>
</file>

<file path=xl/sharedStrings.xml><?xml version="1.0" encoding="utf-8"?>
<sst xmlns="http://schemas.openxmlformats.org/spreadsheetml/2006/main" count="1581" uniqueCount="286">
  <si>
    <t>チーム　テクニカル</t>
  </si>
  <si>
    <t>TOTAL DD</t>
  </si>
  <si>
    <t>ELEMENTS</t>
  </si>
  <si>
    <t>Event</t>
  </si>
  <si>
    <t>Club</t>
  </si>
  <si>
    <t>Team</t>
  </si>
  <si>
    <t>Name</t>
  </si>
  <si>
    <t>Reserve</t>
  </si>
  <si>
    <t>EL</t>
  </si>
  <si>
    <t>ORDER</t>
  </si>
  <si>
    <t>BM</t>
    <phoneticPr fontId="1"/>
  </si>
  <si>
    <t>FC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</si>
  <si>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</si>
  <si>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</si>
  <si>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</si>
  <si>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</si>
  <si>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</si>
  <si>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AVER</t>
    <phoneticPr fontId="1"/>
  </si>
  <si>
    <t>CALC</t>
    <phoneticPr fontId="1"/>
  </si>
  <si>
    <t>TOTAL</t>
    <phoneticPr fontId="1"/>
  </si>
  <si>
    <t>RANK</t>
    <phoneticPr fontId="1"/>
  </si>
  <si>
    <t>DD</t>
    <phoneticPr fontId="1"/>
  </si>
  <si>
    <t>　</t>
  </si>
  <si>
    <t>RAW ELEMENTS</t>
  </si>
  <si>
    <t>SYNCHRONIZATION ERRORS</t>
    <phoneticPr fontId="1"/>
  </si>
  <si>
    <t>ELEMENTS PENALTIES</t>
  </si>
  <si>
    <t>TOTAL ELEMENTS</t>
  </si>
  <si>
    <t>ARTISTIC IMPRESSION</t>
  </si>
  <si>
    <t xml:space="preserve">Choreo. &amp; Music. </t>
  </si>
  <si>
    <t>Performance</t>
  </si>
  <si>
    <t>Transitions</t>
  </si>
  <si>
    <t>RAW ARTISTIC IMPRESSION</t>
  </si>
  <si>
    <t>ARTISTIC IMPRESSION PENALTIES</t>
  </si>
  <si>
    <t>TOTAL ARTISTIC IMPRESSION</t>
  </si>
  <si>
    <t>Order</t>
    <phoneticPr fontId="1"/>
  </si>
  <si>
    <t>■種目コード一覧</t>
    <rPh sb="1" eb="3">
      <t>シュモク</t>
    </rPh>
    <rPh sb="6" eb="8">
      <t>イチラン</t>
    </rPh>
    <phoneticPr fontId="2"/>
  </si>
  <si>
    <t>ソロ　テクニカル</t>
  </si>
  <si>
    <t>男子ソロ　テクニカル</t>
    <rPh sb="0" eb="2">
      <t>ダンシ</t>
    </rPh>
    <phoneticPr fontId="2"/>
  </si>
  <si>
    <t>デュエット　テクニカル</t>
  </si>
  <si>
    <t>ミックスデュエット　テクニカル</t>
  </si>
  <si>
    <t>ソロ　フリー</t>
    <phoneticPr fontId="2"/>
  </si>
  <si>
    <t>男子ソロ　フリー</t>
    <rPh sb="0" eb="2">
      <t>ダンシ</t>
    </rPh>
    <phoneticPr fontId="2"/>
  </si>
  <si>
    <t>デュエット　フリー</t>
    <phoneticPr fontId="2"/>
  </si>
  <si>
    <t>ミックスデュエット　フリー</t>
    <phoneticPr fontId="2"/>
  </si>
  <si>
    <t>チーム　フリー</t>
    <phoneticPr fontId="2"/>
  </si>
  <si>
    <t>アクロバティックルーティン</t>
    <phoneticPr fontId="2"/>
  </si>
  <si>
    <t>フリーコンビネーション</t>
    <phoneticPr fontId="2"/>
  </si>
  <si>
    <t>参照用</t>
    <rPh sb="0" eb="3">
      <t>サンショウヨウ</t>
    </rPh>
    <phoneticPr fontId="1"/>
  </si>
  <si>
    <r>
      <rPr>
        <sz val="9"/>
        <rFont val="Arial"/>
        <family val="2"/>
      </rPr>
      <t>Rank</t>
    </r>
  </si>
  <si>
    <r>
      <rPr>
        <sz val="9"/>
        <rFont val="Arial"/>
        <family val="2"/>
      </rPr>
      <t>Club</t>
    </r>
  </si>
  <si>
    <r>
      <rPr>
        <sz val="9"/>
        <rFont val="Arial"/>
        <family val="2"/>
      </rPr>
      <t>Elements</t>
    </r>
  </si>
  <si>
    <r>
      <rPr>
        <sz val="9"/>
        <rFont val="Arial"/>
        <family val="2"/>
      </rPr>
      <t>Art. Imp</t>
    </r>
  </si>
  <si>
    <r>
      <rPr>
        <sz val="9"/>
        <rFont val="Arial"/>
        <family val="2"/>
      </rPr>
      <t>Routine</t>
    </r>
  </si>
  <si>
    <t>大会名</t>
    <rPh sb="0" eb="3">
      <t>タイカイメイ</t>
    </rPh>
    <phoneticPr fontId="1"/>
  </si>
  <si>
    <t>種目</t>
    <rPh sb="0" eb="2">
      <t>シュモク</t>
    </rPh>
    <phoneticPr fontId="1"/>
  </si>
  <si>
    <t>BRIEF RESULT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</si>
  <si>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</si>
  <si>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</si>
  <si>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Referee</t>
  </si>
  <si>
    <t>Elements</t>
  </si>
  <si>
    <t>Artistic Impression</t>
  </si>
  <si>
    <r>
      <rPr>
        <sz val="9"/>
        <rFont val="ＭＳ ゴシック"/>
        <family val="3"/>
        <charset val="128"/>
      </rPr>
      <t>TC (Difficulty/Synchronization</t>
    </r>
    <r>
      <rPr>
        <u/>
        <sz val="9"/>
        <rFont val="ＭＳ ゴシック"/>
        <family val="3"/>
      </rPr>
      <t>)</t>
    </r>
    <phoneticPr fontId="1"/>
  </si>
  <si>
    <t xml:space="preserve">  Ded</t>
    <phoneticPr fontId="1"/>
  </si>
  <si>
    <t>Pen</t>
  </si>
  <si>
    <t>Name
Reserve</t>
    <phoneticPr fontId="1"/>
  </si>
  <si>
    <t>/</t>
    <phoneticPr fontId="1"/>
  </si>
  <si>
    <t>■ベースマーク</t>
    <phoneticPr fontId="1"/>
  </si>
  <si>
    <t>　BM欄の*を選択することでDDが変わります。</t>
  </si>
  <si>
    <t>式</t>
    <rPh sb="0" eb="1">
      <t>シキ</t>
    </rPh>
    <phoneticPr fontId="1"/>
  </si>
  <si>
    <t>■参照用</t>
    <rPh sb="1" eb="4">
      <t>サンショウヨウ</t>
    </rPh>
    <phoneticPr fontId="1"/>
  </si>
  <si>
    <t>・</t>
    <phoneticPr fontId="1"/>
  </si>
  <si>
    <t>Penalty</t>
    <phoneticPr fontId="1"/>
  </si>
  <si>
    <t>Diduction</t>
    <phoneticPr fontId="1"/>
  </si>
  <si>
    <t>■記号</t>
    <rPh sb="1" eb="3">
      <t>キゴウ</t>
    </rPh>
    <phoneticPr fontId="1"/>
  </si>
  <si>
    <t>チーム減点</t>
    <rPh sb="3" eb="5">
      <t>ゲンテン</t>
    </rPh>
    <phoneticPr fontId="1"/>
  </si>
  <si>
    <t>減点</t>
    <rPh sb="0" eb="2">
      <t>ゲンテン</t>
    </rPh>
    <phoneticPr fontId="1"/>
  </si>
  <si>
    <t>最終的なDD</t>
    <rPh sb="0" eb="3">
      <t>サイシュウテキ</t>
    </rPh>
    <phoneticPr fontId="1"/>
  </si>
  <si>
    <t>係数</t>
    <rPh sb="0" eb="2">
      <t>ケイスウ</t>
    </rPh>
    <phoneticPr fontId="1"/>
  </si>
  <si>
    <t>順位：入力シートA列「RANK」：入力シートAB列「TOTAL」参照</t>
    <rPh sb="0" eb="2">
      <t>ジュンイ</t>
    </rPh>
    <rPh sb="3" eb="5">
      <t>ニュウリョク</t>
    </rPh>
    <rPh sb="9" eb="10">
      <t>レツ</t>
    </rPh>
    <rPh sb="17" eb="19">
      <t>ニュウリョク</t>
    </rPh>
    <rPh sb="24" eb="25">
      <t>レツ</t>
    </rPh>
    <rPh sb="32" eb="34">
      <t>サンショウ</t>
    </rPh>
    <phoneticPr fontId="1"/>
  </si>
  <si>
    <t>エクセル参照のため、同順位がいた際は、結果で次のランクが空白になります。</t>
    <rPh sb="4" eb="6">
      <t>サンショウ</t>
    </rPh>
    <rPh sb="10" eb="13">
      <t>ドウジュンイ</t>
    </rPh>
    <rPh sb="16" eb="17">
      <t>サイ</t>
    </rPh>
    <rPh sb="19" eb="21">
      <t>ケッカ</t>
    </rPh>
    <rPh sb="22" eb="23">
      <t>ツギ</t>
    </rPh>
    <rPh sb="28" eb="30">
      <t>クウハク</t>
    </rPh>
    <phoneticPr fontId="1"/>
  </si>
  <si>
    <t>結果シートに空白があった場合は入力シートを参照の上、手入力してください。</t>
    <rPh sb="0" eb="2">
      <t>ケッカ</t>
    </rPh>
    <rPh sb="6" eb="8">
      <t>クウハク</t>
    </rPh>
    <rPh sb="12" eb="14">
      <t>バアイ</t>
    </rPh>
    <rPh sb="15" eb="17">
      <t>ニュウリョク</t>
    </rPh>
    <rPh sb="21" eb="23">
      <t>サンショウ</t>
    </rPh>
    <rPh sb="24" eb="25">
      <t>ウエ</t>
    </rPh>
    <rPh sb="26" eb="29">
      <t>テニュウリョク</t>
    </rPh>
    <phoneticPr fontId="1"/>
  </si>
  <si>
    <t>コーチカード「貼付」シートの指定エリアを入力シートの薄黄色セルに値複写して使用</t>
    <rPh sb="7" eb="9">
      <t>ハリツケ</t>
    </rPh>
    <rPh sb="14" eb="16">
      <t>シテイ</t>
    </rPh>
    <rPh sb="20" eb="22">
      <t>ニュウリョク</t>
    </rPh>
    <rPh sb="26" eb="27">
      <t>ウス</t>
    </rPh>
    <rPh sb="27" eb="29">
      <t>キイロ</t>
    </rPh>
    <rPh sb="32" eb="35">
      <t>アタイフクシャ</t>
    </rPh>
    <rPh sb="37" eb="39">
      <t>シヨウ</t>
    </rPh>
    <phoneticPr fontId="1"/>
  </si>
  <si>
    <t>貼付後、エントリー状況に応じて手修正</t>
    <rPh sb="0" eb="2">
      <t>ハリツケ</t>
    </rPh>
    <rPh sb="2" eb="3">
      <t>ゴ</t>
    </rPh>
    <rPh sb="9" eb="11">
      <t>ジョウキョウ</t>
    </rPh>
    <rPh sb="12" eb="13">
      <t>オウ</t>
    </rPh>
    <rPh sb="15" eb="16">
      <t>テ</t>
    </rPh>
    <rPh sb="16" eb="18">
      <t>シュウセイ</t>
    </rPh>
    <phoneticPr fontId="1"/>
  </si>
  <si>
    <t>■説明</t>
    <rPh sb="1" eb="3">
      <t>セツメイ</t>
    </rPh>
    <phoneticPr fontId="2"/>
  </si>
  <si>
    <t>よって、式を消してしまうと計算されなくなりますのでご注意ください。</t>
    <rPh sb="4" eb="5">
      <t>シキ</t>
    </rPh>
    <rPh sb="6" eb="7">
      <t>ケ</t>
    </rPh>
    <rPh sb="13" eb="15">
      <t>ケイサン</t>
    </rPh>
    <rPh sb="26" eb="28">
      <t>チュウイ</t>
    </rPh>
    <phoneticPr fontId="1"/>
  </si>
  <si>
    <t>いつでもだれでも手を加えられるように、ルール変更に対応できるように、保護、非表示、マクロ等の対応はしていません。</t>
    <rPh sb="8" eb="9">
      <t>テ</t>
    </rPh>
    <rPh sb="10" eb="11">
      <t>クワ</t>
    </rPh>
    <rPh sb="22" eb="24">
      <t>ヘンコウ</t>
    </rPh>
    <rPh sb="25" eb="27">
      <t>タイオウ</t>
    </rPh>
    <rPh sb="34" eb="36">
      <t>ホゴ</t>
    </rPh>
    <rPh sb="37" eb="40">
      <t>ヒヒョウジ</t>
    </rPh>
    <rPh sb="44" eb="45">
      <t>トウ</t>
    </rPh>
    <rPh sb="46" eb="48">
      <t>タイオウ</t>
    </rPh>
    <phoneticPr fontId="1"/>
  </si>
  <si>
    <t>自由に加工して、自己責任でご使用ください。</t>
    <rPh sb="0" eb="2">
      <t>ジユウ</t>
    </rPh>
    <rPh sb="3" eb="5">
      <t>カコウ</t>
    </rPh>
    <rPh sb="8" eb="12">
      <t>ジコセキニン</t>
    </rPh>
    <rPh sb="14" eb="16">
      <t>シヨウ</t>
    </rPh>
    <phoneticPr fontId="1"/>
  </si>
  <si>
    <r>
      <t xml:space="preserve">入力欄の罫線 </t>
    </r>
    <r>
      <rPr>
        <sz val="16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>枠内に採点/減点等を登録</t>
    </r>
    <rPh sb="0" eb="2">
      <t>ニュウリョク</t>
    </rPh>
    <rPh sb="2" eb="3">
      <t>ラン</t>
    </rPh>
    <rPh sb="4" eb="6">
      <t>ケイセン</t>
    </rPh>
    <rPh sb="12" eb="14">
      <t>サイテン</t>
    </rPh>
    <rPh sb="15" eb="17">
      <t>ゲンテン</t>
    </rPh>
    <rPh sb="17" eb="18">
      <t>トウ</t>
    </rPh>
    <rPh sb="19" eb="21">
      <t>トウロク</t>
    </rPh>
    <phoneticPr fontId="1"/>
  </si>
  <si>
    <t>入力シートAD列～AJ列　結果シートの参照用　消さないでください。</t>
    <rPh sb="0" eb="2">
      <t>ニュウリョク</t>
    </rPh>
    <rPh sb="7" eb="8">
      <t>レツ</t>
    </rPh>
    <rPh sb="11" eb="12">
      <t>レツ</t>
    </rPh>
    <rPh sb="13" eb="15">
      <t>ケッカ</t>
    </rPh>
    <rPh sb="19" eb="21">
      <t>サンショウ</t>
    </rPh>
    <rPh sb="21" eb="22">
      <t>ヨウ</t>
    </rPh>
    <rPh sb="23" eb="24">
      <t>ケ</t>
    </rPh>
    <phoneticPr fontId="1"/>
  </si>
  <si>
    <t>AGE</t>
    <phoneticPr fontId="1"/>
  </si>
  <si>
    <t>■AGE</t>
    <phoneticPr fontId="2"/>
  </si>
  <si>
    <t>Youth（中学生）</t>
    <rPh sb="6" eb="9">
      <t>チュウガクセイ</t>
    </rPh>
    <phoneticPr fontId="1"/>
  </si>
  <si>
    <t>12Under（小学生）</t>
    <rPh sb="8" eb="11">
      <t>ショウガクセイ</t>
    </rPh>
    <phoneticPr fontId="1"/>
  </si>
  <si>
    <t>種目を選択</t>
    <rPh sb="0" eb="2">
      <t>シュモク</t>
    </rPh>
    <rPh sb="3" eb="5">
      <t>センタク</t>
    </rPh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</si>
  <si>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1"/>
  </si>
  <si>
    <t>AGE：年齢区分を選択</t>
    <phoneticPr fontId="1"/>
  </si>
  <si>
    <t>Event：種目を選択</t>
    <phoneticPr fontId="1"/>
  </si>
  <si>
    <t>■対応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</si>
  <si>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</si>
  <si>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</si>
  <si>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●●●</t>
    <phoneticPr fontId="1"/>
  </si>
  <si>
    <t>■■■</t>
    <phoneticPr fontId="1"/>
  </si>
  <si>
    <t>年齢区分</t>
    <rPh sb="0" eb="2">
      <t>ネンレイ</t>
    </rPh>
    <rPh sb="2" eb="4">
      <t>クブン</t>
    </rPh>
    <phoneticPr fontId="1"/>
  </si>
  <si>
    <r>
      <rPr>
        <sz val="11"/>
        <color theme="1"/>
        <rFont val="ＭＳ ゴシック"/>
        <family val="3"/>
        <charset val="128"/>
      </rPr>
      <t>20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</si>
  <si>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t>Pen.</t>
    <phoneticPr fontId="1"/>
  </si>
  <si>
    <t>Did.</t>
    <phoneticPr fontId="1"/>
  </si>
  <si>
    <t>大会名・場所・日付を入力</t>
    <rPh sb="0" eb="3">
      <t>タイカイメイ</t>
    </rPh>
    <rPh sb="4" eb="6">
      <t>バショ</t>
    </rPh>
    <rPh sb="7" eb="9">
      <t>ヒヅケ</t>
    </rPh>
    <rPh sb="10" eb="12">
      <t>ニュウリョク</t>
    </rPh>
    <phoneticPr fontId="1"/>
  </si>
  <si>
    <t>ELEMENTS</t>
    <phoneticPr fontId="1"/>
  </si>
  <si>
    <t>Bon</t>
    <phoneticPr fontId="1"/>
  </si>
  <si>
    <t xml:space="preserve">Pen. </t>
    <phoneticPr fontId="1"/>
  </si>
  <si>
    <t>Pen</t>
    <phoneticPr fontId="1"/>
  </si>
  <si>
    <t>Did</t>
    <phoneticPr fontId="1"/>
  </si>
  <si>
    <t>APNOEA BONUS</t>
    <phoneticPr fontId="1"/>
  </si>
  <si>
    <t>20組まで対応可。種目を増やしたいときは、種目毎にファイルを分けることをお勧めします。</t>
    <rPh sb="2" eb="3">
      <t>クミ</t>
    </rPh>
    <rPh sb="5" eb="7">
      <t>タイオウ</t>
    </rPh>
    <rPh sb="7" eb="8">
      <t>カ</t>
    </rPh>
    <rPh sb="9" eb="11">
      <t>シュモク</t>
    </rPh>
    <rPh sb="12" eb="13">
      <t>フ</t>
    </rPh>
    <rPh sb="21" eb="24">
      <t>シュモクマイ</t>
    </rPh>
    <rPh sb="30" eb="31">
      <t>ワ</t>
    </rPh>
    <rPh sb="37" eb="38">
      <t>スス</t>
    </rPh>
    <phoneticPr fontId="1"/>
  </si>
  <si>
    <t>フィギュアとの合算は考慮していません。別ファイルを作成して対応してください。</t>
    <rPh sb="7" eb="9">
      <t>ガッサン</t>
    </rPh>
    <rPh sb="10" eb="12">
      <t>コウリョ</t>
    </rPh>
    <rPh sb="19" eb="20">
      <t>ベツ</t>
    </rPh>
    <rPh sb="25" eb="27">
      <t>サクセイ</t>
    </rPh>
    <rPh sb="29" eb="31">
      <t>タイオウ</t>
    </rPh>
    <phoneticPr fontId="1"/>
  </si>
  <si>
    <t>競技種⽬︓</t>
  </si>
  <si>
    <t>得点への係数の適⽤︓</t>
  </si>
  <si>
    <t>Elements</t>
    <phoneticPr fontId="1"/>
  </si>
  <si>
    <t>AI</t>
    <phoneticPr fontId="1"/>
  </si>
  <si>
    <t>TRE</t>
  </si>
  <si>
    <t>PERFORM</t>
    <phoneticPr fontId="1"/>
  </si>
  <si>
    <t>TRANS</t>
    <phoneticPr fontId="1"/>
  </si>
  <si>
    <t>12U ソロ</t>
  </si>
  <si>
    <t>ー</t>
  </si>
  <si>
    <t>12U デュエット</t>
  </si>
  <si>
    <t>12U ミックスデュエット</t>
  </si>
  <si>
    <t>12U チーム</t>
  </si>
  <si>
    <t>12U フリーコンビネーション</t>
  </si>
  <si>
    <t>Youth ソロ</t>
  </si>
  <si>
    <t>Youth デュエット</t>
  </si>
  <si>
    <t>Youth ミックスデュエット</t>
  </si>
  <si>
    <t>Youth チーム</t>
  </si>
  <si>
    <t>Youth フリーコンビネーション</t>
  </si>
  <si>
    <t>種目別係数（ファクタリングの変更）</t>
    <rPh sb="0" eb="3">
      <t>シュモクベツ</t>
    </rPh>
    <rPh sb="3" eb="5">
      <t>ケイスウ</t>
    </rPh>
    <rPh sb="14" eb="16">
      <t>ヘンコウ</t>
    </rPh>
    <phoneticPr fontId="1"/>
  </si>
  <si>
    <t>Sr（シニア）</t>
  </si>
  <si>
    <t>Sr（シニア）</t>
    <phoneticPr fontId="1"/>
  </si>
  <si>
    <t>Jr（高校生）</t>
    <rPh sb="3" eb="6">
      <t>コウコウセイ</t>
    </rPh>
    <phoneticPr fontId="1"/>
  </si>
  <si>
    <t>HYBRID</t>
    <phoneticPr fontId="1"/>
  </si>
  <si>
    <t>ACRO</t>
    <phoneticPr fontId="1"/>
  </si>
  <si>
    <t>ChMu</t>
    <phoneticPr fontId="1"/>
  </si>
  <si>
    <t>※</t>
    <phoneticPr fontId="1"/>
  </si>
  <si>
    <t>　**　　⇒　DD：０（DDが0となるPENALTYの場合）</t>
    <phoneticPr fontId="1"/>
  </si>
  <si>
    <t>　*　　　⇒　BM</t>
    <phoneticPr fontId="1"/>
  </si>
  <si>
    <t>Pen
 Ded</t>
    <phoneticPr fontId="1"/>
  </si>
  <si>
    <t>■入力シート説明</t>
    <rPh sb="1" eb="3">
      <t>ニュウリョク</t>
    </rPh>
    <rPh sb="6" eb="8">
      <t>セツメイ</t>
    </rPh>
    <phoneticPr fontId="1"/>
  </si>
  <si>
    <t>　空欄　⇒　DD：申告時のDD</t>
    <rPh sb="9" eb="12">
      <t>シンコクジ</t>
    </rPh>
    <phoneticPr fontId="1"/>
  </si>
  <si>
    <t>※係数の貼付がない場合、結果は０になります。が「#VALUE!」となります。また、RANKが「####」となり、結果シートには何も表示されません。</t>
    <rPh sb="1" eb="3">
      <t>ケイスウ</t>
    </rPh>
    <rPh sb="4" eb="6">
      <t>ハリツケ</t>
    </rPh>
    <rPh sb="9" eb="11">
      <t>バアイ</t>
    </rPh>
    <rPh sb="12" eb="14">
      <t>ケッカ</t>
    </rPh>
    <rPh sb="56" eb="58">
      <t>ケッカ</t>
    </rPh>
    <rPh sb="63" eb="64">
      <t>ナニ</t>
    </rPh>
    <rPh sb="65" eb="67">
      <t>ヒョウジ</t>
    </rPh>
    <phoneticPr fontId="1"/>
  </si>
  <si>
    <t>Club（クラブ）/Team（チーム名）/Name（出場者氏名）/Reserve（リザーブ氏名）と提出されたコーチカードのエレメントと申告時のDDを入力</t>
    <rPh sb="18" eb="19">
      <t>メイ</t>
    </rPh>
    <rPh sb="26" eb="29">
      <t>シュツジョウシャ</t>
    </rPh>
    <rPh sb="29" eb="31">
      <t>シメイ</t>
    </rPh>
    <rPh sb="45" eb="47">
      <t>シメイ</t>
    </rPh>
    <rPh sb="49" eb="51">
      <t>テイシュツ</t>
    </rPh>
    <rPh sb="67" eb="70">
      <t>シンコクジ</t>
    </rPh>
    <rPh sb="74" eb="76">
      <t>ニュウリョク</t>
    </rPh>
    <phoneticPr fontId="1"/>
  </si>
  <si>
    <t>各セルの式を消してしまうと、TOTALが「＃N/A」「#VALUE!」、RANKが「####」となり、結果シートには何も表示されません。</t>
    <rPh sb="0" eb="1">
      <t>カク</t>
    </rPh>
    <rPh sb="4" eb="5">
      <t>シキ</t>
    </rPh>
    <rPh sb="6" eb="7">
      <t>ケ</t>
    </rPh>
    <phoneticPr fontId="1"/>
  </si>
  <si>
    <t>ELEMENTSに応じたFC（係数）が表示されます</t>
    <rPh sb="9" eb="10">
      <t>オウ</t>
    </rPh>
    <rPh sb="15" eb="17">
      <t>ケイスウ</t>
    </rPh>
    <rPh sb="19" eb="21">
      <t>ヒョウジ</t>
    </rPh>
    <phoneticPr fontId="1"/>
  </si>
  <si>
    <t>AIに応じたFC（係数）が表示されます</t>
    <rPh sb="3" eb="4">
      <t>オウ</t>
    </rPh>
    <rPh sb="9" eb="11">
      <t>ケイスウ</t>
    </rPh>
    <rPh sb="13" eb="15">
      <t>ヒョウジ</t>
    </rPh>
    <phoneticPr fontId="1"/>
  </si>
  <si>
    <t>申告時のDDが0.5以下の場合＝DD×0.5（小数点第2位まで第3位四捨五入）</t>
    <rPh sb="10" eb="12">
      <t>イカ</t>
    </rPh>
    <phoneticPr fontId="1"/>
  </si>
  <si>
    <t>※BM欄：*BM、**DD＝０</t>
    <rPh sb="3" eb="4">
      <t>ラン</t>
    </rPh>
    <phoneticPr fontId="1"/>
  </si>
  <si>
    <t>無呼吸ボーナス：40または０のいずれかを選択</t>
    <rPh sb="0" eb="3">
      <t>ムコキュウ</t>
    </rPh>
    <rPh sb="20" eb="22">
      <t>センタク</t>
    </rPh>
    <phoneticPr fontId="1"/>
  </si>
  <si>
    <t>↓</t>
    <phoneticPr fontId="1"/>
  </si>
  <si>
    <t>ROUNDしない</t>
    <phoneticPr fontId="1"/>
  </si>
  <si>
    <t>FIGURE</t>
    <phoneticPr fontId="1"/>
  </si>
  <si>
    <t>Jr/Sr ソロテクニカル</t>
    <phoneticPr fontId="1"/>
  </si>
  <si>
    <t>Jr/Sr ミックスデュエットテク二カル</t>
    <rPh sb="17" eb="18">
      <t>ニ</t>
    </rPh>
    <phoneticPr fontId="1"/>
  </si>
  <si>
    <t>ー</t>
    <phoneticPr fontId="1"/>
  </si>
  <si>
    <t>RANK</t>
    <phoneticPr fontId="1"/>
  </si>
  <si>
    <t>*</t>
  </si>
  <si>
    <t>**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</si>
  <si>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Termina"/>
      </rPr>
      <t>BM</t>
    </r>
    <r>
      <rPr>
        <sz val="11"/>
        <color theme="1"/>
        <rFont val="ＭＳ Ｐゴシック"/>
        <family val="3"/>
        <charset val="128"/>
      </rPr>
      <t>欄：</t>
    </r>
    <r>
      <rPr>
        <sz val="11"/>
        <color theme="1"/>
        <rFont val="Termina"/>
        <family val="3"/>
      </rPr>
      <t>*BM</t>
    </r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Arial"/>
        <family val="2"/>
      </rPr>
      <t>DD:0.5,PairAcro:0.1,</t>
    </r>
    <r>
      <rPr>
        <sz val="11"/>
        <color theme="1"/>
        <rFont val="ＭＳ ゴシック"/>
        <family val="3"/>
        <charset val="128"/>
      </rPr>
      <t>）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</t>
    </r>
    <r>
      <rPr>
        <sz val="11"/>
        <color theme="1"/>
        <rFont val="ＭＳ Ｐゴシック"/>
        <family val="3"/>
        <charset val="128"/>
      </rPr>
      <t>０</t>
    </r>
    <rPh sb="3" eb="4">
      <t>ラン</t>
    </rPh>
    <phoneticPr fontId="1"/>
  </si>
  <si>
    <t>HYB</t>
  </si>
  <si>
    <t>HYB</t>
    <phoneticPr fontId="1"/>
  </si>
  <si>
    <t>Jr/Sr デュエットテクニカル</t>
    <phoneticPr fontId="1"/>
  </si>
  <si>
    <t>Jr/Sr チームテクニカル</t>
    <phoneticPr fontId="1"/>
  </si>
  <si>
    <t>Jr/Sr ソロフリー</t>
    <phoneticPr fontId="1"/>
  </si>
  <si>
    <t>Jr/Sr デュエットフリー</t>
    <phoneticPr fontId="1"/>
  </si>
  <si>
    <t>Jr/Sr ミックスデュエットフリー</t>
    <phoneticPr fontId="1"/>
  </si>
  <si>
    <t>Jr/Sr チームフリー</t>
    <phoneticPr fontId="1"/>
  </si>
  <si>
    <t>Jr/Sr アクロバティックルーティン</t>
    <phoneticPr fontId="1"/>
  </si>
  <si>
    <t>S-TRE1a</t>
  </si>
  <si>
    <t>S-TRE1b</t>
  </si>
  <si>
    <t>S-TRE2a</t>
  </si>
  <si>
    <t>S-TRE2b</t>
  </si>
  <si>
    <t>S-TRE3</t>
  </si>
  <si>
    <t>S-TRE4a</t>
  </si>
  <si>
    <t>S-TRE4b</t>
  </si>
  <si>
    <t>S-TRE5a</t>
  </si>
  <si>
    <t>S-TRE5b</t>
  </si>
  <si>
    <t>D-TRE1a</t>
  </si>
  <si>
    <t>D-TRE1b</t>
  </si>
  <si>
    <t>D-TRE2a</t>
  </si>
  <si>
    <t>D-TRE2b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</si>
  <si>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</si>
  <si>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</si>
  <si>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</si>
  <si>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</si>
  <si>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</si>
  <si>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</si>
  <si>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</si>
  <si>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</si>
  <si>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M-TRE3</t>
  </si>
  <si>
    <t>T-TRE1a</t>
  </si>
  <si>
    <t>T-TRE1b</t>
  </si>
  <si>
    <t>T-TRE2a</t>
  </si>
  <si>
    <t>T-TRE2b</t>
  </si>
  <si>
    <t>T-TRE3a</t>
  </si>
  <si>
    <t>T-TRE3b</t>
  </si>
  <si>
    <t>T-TRE4</t>
  </si>
  <si>
    <t>T-TRE5a</t>
  </si>
  <si>
    <t>T-TRE5b</t>
  </si>
  <si>
    <t>D-TRE3</t>
    <phoneticPr fontId="1"/>
  </si>
  <si>
    <t>■ELEMENTS</t>
    <phoneticPr fontId="1"/>
  </si>
  <si>
    <t xml:space="preserve">M-TRE5b                   </t>
  </si>
  <si>
    <t xml:space="preserve">Acro-A </t>
  </si>
  <si>
    <t xml:space="preserve">S-TRE2b                   </t>
  </si>
  <si>
    <t>M-TRE5b</t>
    <phoneticPr fontId="1"/>
  </si>
  <si>
    <t xml:space="preserve">M-TRE5b </t>
    <phoneticPr fontId="1"/>
  </si>
  <si>
    <t>S-TRE2b</t>
    <phoneticPr fontId="1"/>
  </si>
  <si>
    <t>下アーティスティックスイミングクラブ</t>
    <rPh sb="0" eb="1">
      <t>シタ</t>
    </rPh>
    <phoneticPr fontId="1"/>
  </si>
  <si>
    <r>
      <rPr>
        <sz val="11"/>
        <color theme="1"/>
        <rFont val="ＭＳ Ｐゴシック"/>
        <family val="3"/>
        <charset val="128"/>
      </rPr>
      <t>下アーティスティックスイミングクラブ</t>
    </r>
    <r>
      <rPr>
        <sz val="11"/>
        <color theme="1"/>
        <rFont val="Termina"/>
        <family val="2"/>
      </rPr>
      <t>A</t>
    </r>
    <rPh sb="0" eb="1">
      <t>シタ</t>
    </rPh>
    <phoneticPr fontId="1"/>
  </si>
  <si>
    <r>
      <rPr>
        <sz val="11"/>
        <color theme="1"/>
        <rFont val="ＭＳ Ｐゴシック"/>
        <family val="3"/>
        <charset val="128"/>
      </rPr>
      <t>来らんらん/若わかな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</t>
    </r>
    <phoneticPr fontId="1"/>
  </si>
  <si>
    <t>上アーティスティックスイミングクラブ</t>
    <rPh sb="0" eb="1">
      <t>ウエ</t>
    </rPh>
    <phoneticPr fontId="1"/>
  </si>
  <si>
    <r>
      <rPr>
        <sz val="11"/>
        <color theme="1"/>
        <rFont val="ＭＳ Ｐゴシック"/>
        <family val="3"/>
        <charset val="128"/>
      </rPr>
      <t>上アーティスティックスイミングクラブ</t>
    </r>
    <r>
      <rPr>
        <sz val="11"/>
        <color theme="1"/>
        <rFont val="Termina"/>
        <family val="2"/>
      </rPr>
      <t>A</t>
    </r>
    <rPh sb="0" eb="1">
      <t>ウエ</t>
    </rPh>
    <phoneticPr fontId="1"/>
  </si>
  <si>
    <t>佐藤たみこ/内藤はるか/松藤やくみ</t>
  </si>
  <si>
    <t>わかな</t>
  </si>
  <si>
    <r>
      <rPr>
        <sz val="11"/>
        <color theme="1"/>
        <rFont val="ＭＳ Ｐゴシック"/>
        <family val="3"/>
        <charset val="128"/>
      </rPr>
      <t>佐藤たみこ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松藤やくみ</t>
    </r>
    <phoneticPr fontId="1"/>
  </si>
  <si>
    <t>わかな</t>
    <phoneticPr fontId="1"/>
  </si>
  <si>
    <t>南アーティスティックスイミングクラブ</t>
    <rPh sb="0" eb="1">
      <t>ミナミ</t>
    </rPh>
    <phoneticPr fontId="1"/>
  </si>
  <si>
    <r>
      <rPr>
        <sz val="11"/>
        <color theme="1"/>
        <rFont val="ＭＳ Ｐゴシック"/>
        <family val="3"/>
        <charset val="128"/>
      </rPr>
      <t>南アーティスティックスイミングクラブ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</si>
  <si>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あみ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さり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たみ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なな</t>
    </r>
    <phoneticPr fontId="1"/>
  </si>
  <si>
    <r>
      <rPr>
        <sz val="11"/>
        <color theme="1"/>
        <rFont val="ＭＳ Ｐゴシック"/>
        <family val="3"/>
        <charset val="128"/>
      </rPr>
      <t>来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</t>
    </r>
    <phoneticPr fontId="1"/>
  </si>
  <si>
    <t>北アーティスティックスイミングクラブ</t>
    <rPh sb="0" eb="1">
      <t>キタ</t>
    </rPh>
    <phoneticPr fontId="1"/>
  </si>
  <si>
    <r>
      <rPr>
        <sz val="11"/>
        <color theme="1"/>
        <rFont val="ＭＳ Ｐゴシック"/>
        <family val="3"/>
        <charset val="128"/>
      </rPr>
      <t>北アーティスティックスイミングクラブ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</si>
  <si>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高みこ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松りな</t>
    </r>
    <phoneticPr fontId="1"/>
  </si>
  <si>
    <t>関西アーティスティックスイミングクラブ</t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</si>
  <si>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関西アーティスティックスイミングクラブ</t>
    </r>
    <r>
      <rPr>
        <sz val="11"/>
        <color theme="1"/>
        <rFont val="Termina"/>
        <family val="2"/>
      </rPr>
      <t>A</t>
    </r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</si>
  <si>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安あいり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高たみこ</t>
    </r>
    <phoneticPr fontId="1"/>
  </si>
  <si>
    <r>
      <rPr>
        <sz val="11"/>
        <color theme="1"/>
        <rFont val="ＭＳ Ｐゴシック"/>
        <family val="3"/>
        <charset val="128"/>
      </rPr>
      <t>来らん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若わかな</t>
    </r>
    <phoneticPr fontId="1"/>
  </si>
  <si>
    <t>宇治アーティスティックスイミングクラブ</t>
    <rPh sb="0" eb="2">
      <t>ウジ</t>
    </rPh>
    <phoneticPr fontId="1"/>
  </si>
  <si>
    <r>
      <rPr>
        <sz val="11"/>
        <color theme="1"/>
        <rFont val="ＭＳ Ｐゴシック"/>
        <family val="3"/>
        <charset val="128"/>
      </rPr>
      <t>宇治アーティスティックスイミングクラブ</t>
    </r>
    <r>
      <rPr>
        <sz val="11"/>
        <color theme="1"/>
        <rFont val="Termina"/>
        <family val="2"/>
      </rPr>
      <t>A</t>
    </r>
    <rPh sb="0" eb="2">
      <t>ウジ</t>
    </rPh>
    <phoneticPr fontId="1"/>
  </si>
  <si>
    <r>
      <rPr>
        <sz val="11"/>
        <color theme="1"/>
        <rFont val="ＭＳ Ｐゴシック"/>
        <family val="3"/>
        <charset val="128"/>
      </rPr>
      <t>藤かみら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藤ななみ</t>
    </r>
    <phoneticPr fontId="1"/>
  </si>
  <si>
    <t>安藤あいり</t>
    <phoneticPr fontId="1"/>
  </si>
  <si>
    <t>桜島アーティスティックスイミングクラブ</t>
    <rPh sb="0" eb="2">
      <t>サクラジマ</t>
    </rPh>
    <phoneticPr fontId="1"/>
  </si>
  <si>
    <r>
      <rPr>
        <sz val="11"/>
        <color theme="1"/>
        <rFont val="ＭＳ Ｐゴシック"/>
        <family val="3"/>
        <charset val="128"/>
      </rPr>
      <t>桜島アーティスティックスイミングクラブ</t>
    </r>
    <r>
      <rPr>
        <sz val="11"/>
        <color theme="1"/>
        <rFont val="Termina"/>
        <family val="2"/>
      </rPr>
      <t>A</t>
    </r>
    <rPh sb="0" eb="2">
      <t>サクラジマ</t>
    </rPh>
    <phoneticPr fontId="1"/>
  </si>
  <si>
    <r>
      <t>藤らん</t>
    </r>
    <r>
      <rPr>
        <sz val="11"/>
        <color theme="1"/>
        <rFont val="Termina"/>
      </rPr>
      <t>/</t>
    </r>
    <r>
      <rPr>
        <sz val="11"/>
        <color theme="1"/>
        <rFont val="ＭＳ Ｐゴシック"/>
        <family val="3"/>
        <charset val="128"/>
      </rPr>
      <t>藤わか</t>
    </r>
  </si>
  <si>
    <t>喜多方アーティスティックスイミングクラブ</t>
    <rPh sb="0" eb="1">
      <t>ヨロコ</t>
    </rPh>
    <rPh sb="1" eb="2">
      <t>オオ</t>
    </rPh>
    <rPh sb="2" eb="3">
      <t>カタ</t>
    </rPh>
    <phoneticPr fontId="1"/>
  </si>
  <si>
    <r>
      <rPr>
        <sz val="11"/>
        <color theme="1"/>
        <rFont val="ＭＳ Ｐゴシック"/>
        <family val="3"/>
        <charset val="128"/>
      </rPr>
      <t>喜多方アーティスティックスイミングクラブ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</si>
  <si>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来藤らんらん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若藤わかな</t>
    </r>
  </si>
  <si>
    <t>らん</t>
    <phoneticPr fontId="1"/>
  </si>
  <si>
    <t>博多アーティスティックスイミングクラブ</t>
    <rPh sb="0" eb="2">
      <t>ハカタ</t>
    </rPh>
    <phoneticPr fontId="1"/>
  </si>
  <si>
    <r>
      <rPr>
        <sz val="11"/>
        <color theme="1"/>
        <rFont val="ＭＳ Ｐゴシック"/>
        <family val="3"/>
        <charset val="128"/>
      </rPr>
      <t>博多アーティスティックスイミングクラブ</t>
    </r>
    <r>
      <rPr>
        <sz val="11"/>
        <color theme="1"/>
        <rFont val="Termina"/>
        <family val="2"/>
      </rPr>
      <t>A</t>
    </r>
    <rPh sb="0" eb="2">
      <t>ハカタ</t>
    </rPh>
    <phoneticPr fontId="1"/>
  </si>
  <si>
    <r>
      <rPr>
        <sz val="11"/>
        <color theme="1"/>
        <rFont val="ＭＳ Ｐゴシック"/>
        <family val="3"/>
        <charset val="128"/>
      </rPr>
      <t>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やくみ</t>
    </r>
    <phoneticPr fontId="1"/>
  </si>
  <si>
    <t>栄アーティスティックスイミングクラブ</t>
    <rPh sb="0" eb="1">
      <t>サカエ</t>
    </rPh>
    <phoneticPr fontId="1"/>
  </si>
  <si>
    <r>
      <rPr>
        <sz val="11"/>
        <color theme="1"/>
        <rFont val="ＭＳ Ｐゴシック"/>
        <family val="3"/>
        <charset val="128"/>
      </rPr>
      <t>栄アーティスティックスイミングクラブ</t>
    </r>
    <r>
      <rPr>
        <sz val="11"/>
        <color theme="1"/>
        <rFont val="Termina"/>
        <family val="2"/>
      </rPr>
      <t>A</t>
    </r>
    <rPh sb="0" eb="1">
      <t>サカエ</t>
    </rPh>
    <phoneticPr fontId="1"/>
  </si>
  <si>
    <r>
      <rPr>
        <sz val="11"/>
        <color theme="1"/>
        <rFont val="ＭＳ Ｐゴシック"/>
        <family val="3"/>
        <charset val="128"/>
      </rPr>
      <t>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はるか</t>
    </r>
    <phoneticPr fontId="1"/>
  </si>
  <si>
    <t>藤枝アーティスティックスイミングクラブ</t>
    <rPh sb="0" eb="2">
      <t>フジエダ</t>
    </rPh>
    <phoneticPr fontId="1"/>
  </si>
  <si>
    <r>
      <rPr>
        <sz val="11"/>
        <color theme="1"/>
        <rFont val="ＭＳ Ｐゴシック"/>
        <family val="3"/>
        <charset val="128"/>
      </rPr>
      <t>藤枝アーティスティックスイミングクラブ</t>
    </r>
    <r>
      <rPr>
        <sz val="11"/>
        <color theme="1"/>
        <rFont val="Termina"/>
        <family val="2"/>
      </rPr>
      <t>A</t>
    </r>
    <rPh sb="0" eb="2">
      <t>フジエダ</t>
    </rPh>
    <phoneticPr fontId="1"/>
  </si>
  <si>
    <r>
      <rPr>
        <sz val="11"/>
        <color theme="1"/>
        <rFont val="ＭＳ Ｐゴシック"/>
        <family val="3"/>
        <charset val="128"/>
      </rPr>
      <t>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たみこ</t>
    </r>
    <phoneticPr fontId="1"/>
  </si>
  <si>
    <t>信州アーティスティックスイミングクラブ</t>
    <rPh sb="0" eb="2">
      <t>シンシュウ</t>
    </rPh>
    <phoneticPr fontId="1"/>
  </si>
  <si>
    <r>
      <rPr>
        <sz val="11"/>
        <color theme="1"/>
        <rFont val="ＭＳ Ｐゴシック"/>
        <family val="3"/>
        <charset val="128"/>
      </rPr>
      <t>信州アーティスティックスイミングクラブ</t>
    </r>
    <r>
      <rPr>
        <sz val="11"/>
        <color theme="1"/>
        <rFont val="Termina"/>
        <family val="2"/>
      </rPr>
      <t>A</t>
    </r>
    <rPh sb="0" eb="2">
      <t>シンシュウ</t>
    </rPh>
    <phoneticPr fontId="1"/>
  </si>
  <si>
    <r>
      <rPr>
        <sz val="11"/>
        <color theme="1"/>
        <rFont val="ＭＳ Ｐゴシック"/>
        <family val="3"/>
        <charset val="128"/>
      </rPr>
      <t>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かみら</t>
    </r>
    <phoneticPr fontId="1"/>
  </si>
  <si>
    <t>道頓堀アーティスティックスイミングクラブ</t>
    <rPh sb="0" eb="3">
      <t>ドウトンボリ</t>
    </rPh>
    <phoneticPr fontId="1"/>
  </si>
  <si>
    <r>
      <rPr>
        <sz val="11"/>
        <color theme="1"/>
        <rFont val="ＭＳ Ｐゴシック"/>
        <family val="3"/>
        <charset val="128"/>
      </rPr>
      <t>道頓堀アーティスティックスイミングクラブ</t>
    </r>
    <r>
      <rPr>
        <sz val="11"/>
        <color theme="1"/>
        <rFont val="Termina"/>
        <family val="2"/>
      </rPr>
      <t>A</t>
    </r>
    <rPh sb="0" eb="3">
      <t>ドウトンボリ</t>
    </rPh>
    <phoneticPr fontId="1"/>
  </si>
  <si>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</si>
  <si>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筑波アーティスティックスイミングクラブ</t>
    <rPh sb="0" eb="2">
      <t>ツクバ</t>
    </rPh>
    <phoneticPr fontId="1"/>
  </si>
  <si>
    <r>
      <rPr>
        <sz val="11"/>
        <color theme="1"/>
        <rFont val="ＭＳ Ｐゴシック"/>
        <family val="3"/>
        <charset val="128"/>
      </rPr>
      <t>筑波アーティスティックスイミングクラブ</t>
    </r>
    <r>
      <rPr>
        <sz val="11"/>
        <color theme="1"/>
        <rFont val="Termina"/>
        <family val="2"/>
      </rPr>
      <t>A</t>
    </r>
    <rPh sb="0" eb="2">
      <t>ツクバ</t>
    </rPh>
    <phoneticPr fontId="1"/>
  </si>
  <si>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</si>
  <si>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柏アーティスティックスイミングクラブ</t>
    <rPh sb="0" eb="1">
      <t>カシワ</t>
    </rPh>
    <phoneticPr fontId="1"/>
  </si>
  <si>
    <r>
      <rPr>
        <sz val="11"/>
        <color theme="1"/>
        <rFont val="ＭＳ Ｐゴシック"/>
        <family val="3"/>
        <charset val="128"/>
      </rPr>
      <t>柏アーティスティックスイミングクラブ</t>
    </r>
    <r>
      <rPr>
        <sz val="11"/>
        <color theme="1"/>
        <rFont val="Termina"/>
        <family val="2"/>
      </rPr>
      <t>A</t>
    </r>
    <rPh sb="0" eb="1">
      <t>カシワ</t>
    </rPh>
    <phoneticPr fontId="1"/>
  </si>
  <si>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</si>
  <si>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埼玉アーティスティックスイミングクラブ</t>
    <rPh sb="0" eb="2">
      <t>サイタマ</t>
    </rPh>
    <phoneticPr fontId="1"/>
  </si>
  <si>
    <r>
      <rPr>
        <sz val="11"/>
        <color theme="1"/>
        <rFont val="ＭＳ Ｐゴシック"/>
        <family val="3"/>
        <charset val="128"/>
      </rPr>
      <t>埼玉アーティスティックスイミングクラブ</t>
    </r>
    <r>
      <rPr>
        <sz val="11"/>
        <color theme="1"/>
        <rFont val="Termina"/>
        <family val="2"/>
      </rPr>
      <t>A</t>
    </r>
    <rPh sb="0" eb="2">
      <t>サイタマ</t>
    </rPh>
    <phoneticPr fontId="1"/>
  </si>
  <si>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</si>
  <si>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神奈川アーティスティックスイミングクラブ</t>
    <rPh sb="0" eb="3">
      <t>カナガワ</t>
    </rPh>
    <phoneticPr fontId="1"/>
  </si>
  <si>
    <r>
      <rPr>
        <sz val="11"/>
        <color theme="1"/>
        <rFont val="ＭＳ Ｐゴシック"/>
        <family val="3"/>
        <charset val="128"/>
      </rPr>
      <t>神奈川アーティスティックスイミングクラブ</t>
    </r>
    <r>
      <rPr>
        <sz val="11"/>
        <color theme="1"/>
        <rFont val="Termina"/>
        <family val="2"/>
      </rPr>
      <t>A</t>
    </r>
    <rPh sb="0" eb="3">
      <t>カナガワ</t>
    </rPh>
    <phoneticPr fontId="1"/>
  </si>
  <si>
    <r>
      <rPr>
        <sz val="11"/>
        <color theme="1"/>
        <rFont val="ＭＳ Ｐゴシック"/>
        <family val="3"/>
        <charset val="128"/>
      </rPr>
      <t>佐藤さゆり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</si>
  <si>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世田谷アーティスティックスイミングクラブ</t>
    <rPh sb="0" eb="3">
      <t>セタガヤ</t>
    </rPh>
    <phoneticPr fontId="1"/>
  </si>
  <si>
    <r>
      <rPr>
        <sz val="11"/>
        <color theme="1"/>
        <rFont val="ＭＳ Ｐゴシック"/>
        <family val="3"/>
        <charset val="128"/>
      </rPr>
      <t>世田谷アーティスティックスイミングクラブ</t>
    </r>
    <r>
      <rPr>
        <sz val="11"/>
        <color theme="1"/>
        <rFont val="Termina"/>
        <family val="2"/>
      </rPr>
      <t>A</t>
    </r>
    <rPh sb="0" eb="3">
      <t>セタガヤ</t>
    </rPh>
    <phoneticPr fontId="1"/>
  </si>
  <si>
    <r>
      <rPr>
        <sz val="11"/>
        <color theme="1"/>
        <rFont val="ＭＳ Ｐゴシック"/>
        <family val="3"/>
        <charset val="128"/>
      </rPr>
      <t>加藤かみら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</si>
  <si>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HYB・ACRO＝DD：0.5</t>
    <phoneticPr fontId="1"/>
  </si>
  <si>
    <r>
      <t>←</t>
    </r>
    <r>
      <rPr>
        <sz val="11"/>
        <color rgb="FFFF0000"/>
        <rFont val="ＭＳ ゴシック"/>
        <family val="3"/>
        <charset val="128"/>
      </rPr>
      <t>係数シートから天気</t>
    </r>
    <rPh sb="8" eb="10">
      <t>テンキ</t>
    </rPh>
    <phoneticPr fontId="1"/>
  </si>
  <si>
    <r>
      <t>申告時のDD/</t>
    </r>
    <r>
      <rPr>
        <sz val="11"/>
        <color rgb="FFFF0000"/>
        <rFont val="メイリオ"/>
        <family val="3"/>
        <charset val="128"/>
      </rPr>
      <t>BM値を含む</t>
    </r>
    <rPh sb="0" eb="3">
      <t>シンコクジ</t>
    </rPh>
    <rPh sb="9" eb="10">
      <t>チ</t>
    </rPh>
    <rPh sb="11" eb="12">
      <t>フク</t>
    </rPh>
    <phoneticPr fontId="1"/>
  </si>
  <si>
    <t>該当年齢・種目の係数FCをA8～O8セルに貼付</t>
    <rPh sb="0" eb="2">
      <t>ガイトウ</t>
    </rPh>
    <rPh sb="2" eb="4">
      <t>ネンレイ</t>
    </rPh>
    <rPh sb="5" eb="7">
      <t>シュモク</t>
    </rPh>
    <rPh sb="21" eb="23">
      <t>ハリツケ</t>
    </rPh>
    <phoneticPr fontId="1"/>
  </si>
  <si>
    <t>※該当する競技種目のA～O列を入力シートのA8～O８列に貼付</t>
    <rPh sb="1" eb="3">
      <t>ガイトウ</t>
    </rPh>
    <rPh sb="5" eb="9">
      <t>キョウギシュモク</t>
    </rPh>
    <rPh sb="13" eb="14">
      <t>レツ</t>
    </rPh>
    <rPh sb="15" eb="17">
      <t>ニュウリョク</t>
    </rPh>
    <rPh sb="26" eb="27">
      <t>レツ</t>
    </rPh>
    <rPh sb="28" eb="30">
      <t>ハリツケ</t>
    </rPh>
    <phoneticPr fontId="1"/>
  </si>
  <si>
    <t>※国内全国大会では廃止</t>
    <rPh sb="1" eb="3">
      <t>コクナイ</t>
    </rPh>
    <rPh sb="3" eb="5">
      <t>ゼンコク</t>
    </rPh>
    <rPh sb="5" eb="7">
      <t>タイカイ</t>
    </rPh>
    <rPh sb="9" eb="11">
      <t>ハイシ</t>
    </rPh>
    <phoneticPr fontId="1"/>
  </si>
  <si>
    <t>ACRO-A</t>
  </si>
  <si>
    <t>ACRO-B</t>
  </si>
  <si>
    <t>ACRO-C</t>
  </si>
  <si>
    <t>ACRO-P</t>
  </si>
  <si>
    <t>Acro-Pair</t>
  </si>
  <si>
    <t>Acro-Pair</t>
    <phoneticPr fontId="1"/>
  </si>
  <si>
    <t>Acro-Pair＝DD：0.1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</si>
</sst>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.0000"/>
    <numFmt numFmtId="179" formatCode="0.0_ "/>
    <numFmt numFmtId="180" formatCode="0.0000_ 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Termina"/>
    </font>
    <font>
      <sz val="11"/>
      <color theme="1"/>
      <name val="Termina"/>
      <family val="2"/>
    </font>
    <font>
      <b/>
      <sz val="10"/>
      <color theme="1"/>
      <name val="Termina"/>
      <family val="2"/>
    </font>
    <font>
      <sz val="10"/>
      <color theme="1"/>
      <name val="Termina"/>
      <family val="2"/>
    </font>
    <font>
      <b/>
      <sz val="11"/>
      <color theme="1"/>
      <name val="Termina"/>
      <family val="2"/>
    </font>
    <font>
      <sz val="11"/>
      <color theme="1"/>
      <name val="Termina"/>
      <family val="3"/>
    </font>
    <font>
      <sz val="11"/>
      <color theme="1"/>
      <name val="Termina"/>
      <family val="3"/>
      <charset val="128"/>
    </font>
    <font>
      <b/>
      <sz val="11"/>
      <color theme="1"/>
      <name val="Termina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Arial"/>
      <family val="2"/>
    </font>
    <font>
      <sz val="9"/>
      <name val="ＭＳ ゴシック"/>
      <family val="3"/>
      <charset val="128"/>
    </font>
    <font>
      <u/>
      <sz val="9"/>
      <name val="ＭＳ ゴシック"/>
      <family val="3"/>
    </font>
    <font>
      <sz val="9"/>
      <color rgb="FF000000"/>
      <name val="ＭＳ ゴシック"/>
      <family val="2"/>
    </font>
    <font>
      <sz val="9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6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Times New Roman"/>
      <family val="1"/>
    </font>
    <font>
      <sz val="14"/>
      <color theme="1"/>
      <name val="メイリオ"/>
      <family val="3"/>
      <charset val="128"/>
    </font>
    <font>
      <sz val="11"/>
      <color rgb="FFFF0000"/>
      <name val="Termina"/>
    </font>
    <font>
      <b/>
      <sz val="11"/>
      <color theme="1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1"/>
      <color theme="1"/>
      <name val="Termina Demi"/>
      <family val="3"/>
    </font>
    <font>
      <strike/>
      <sz val="11"/>
      <color theme="1"/>
      <name val="メイリオ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8CB"/>
        <bgColor indexed="64"/>
      </patternFill>
    </fill>
    <fill>
      <patternFill patternType="solid">
        <fgColor rgb="FFFFF4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 style="thick">
        <color theme="0"/>
      </top>
      <bottom style="thick">
        <color rgb="FFFFFFFF"/>
      </bottom>
      <diagonal/>
    </border>
    <border>
      <left/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theme="0"/>
      </top>
      <bottom/>
      <diagonal/>
    </border>
    <border>
      <left/>
      <right style="thick">
        <color rgb="FFFFFFFF"/>
      </right>
      <top style="thick">
        <color theme="0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thick">
        <color rgb="FFFFFFFF"/>
      </top>
      <bottom style="thick">
        <color theme="0"/>
      </bottom>
      <diagonal/>
    </border>
    <border>
      <left/>
      <right style="medium">
        <color theme="0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rgb="FFFFFFFF"/>
      </top>
      <bottom style="medium">
        <color theme="0"/>
      </bottom>
      <diagonal/>
    </border>
    <border>
      <left/>
      <right style="thick">
        <color rgb="FFFFFFFF"/>
      </right>
      <top style="thick">
        <color rgb="FFFFFFFF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thick">
        <color rgb="FFFFFFFF"/>
      </bottom>
      <diagonal/>
    </border>
    <border>
      <left/>
      <right style="thick">
        <color rgb="FFFFFFFF"/>
      </right>
      <top style="medium">
        <color theme="0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medium">
        <color rgb="FFD4D4D4"/>
      </left>
      <right/>
      <top style="thick">
        <color rgb="FFFFFFFF"/>
      </top>
      <bottom/>
      <diagonal/>
    </border>
    <border>
      <left style="medium">
        <color rgb="FFD4D4D4"/>
      </left>
      <right/>
      <top/>
      <bottom/>
      <diagonal/>
    </border>
    <border>
      <left style="medium">
        <color rgb="FFD4D4D4"/>
      </left>
      <right/>
      <top/>
      <bottom style="thick">
        <color rgb="FFFFFFFF"/>
      </bottom>
      <diagonal/>
    </border>
    <border>
      <left style="medium">
        <color rgb="FFD4D4D4"/>
      </left>
      <right/>
      <top style="thick">
        <color rgb="FFFFFFFF"/>
      </top>
      <bottom style="medium">
        <color theme="0"/>
      </bottom>
      <diagonal/>
    </border>
    <border>
      <left/>
      <right/>
      <top style="thick">
        <color rgb="FFFFFFFF"/>
      </top>
      <bottom style="medium">
        <color theme="0"/>
      </bottom>
      <diagonal/>
    </border>
    <border>
      <left style="medium">
        <color rgb="FFD4D4D4"/>
      </left>
      <right/>
      <top style="medium">
        <color theme="0"/>
      </top>
      <bottom style="thick">
        <color rgb="FFFFFFFF"/>
      </bottom>
      <diagonal/>
    </border>
    <border>
      <left/>
      <right/>
      <top style="medium">
        <color theme="0"/>
      </top>
      <bottom style="thick">
        <color rgb="FFFFFFFF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2" fontId="4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7" fillId="0" borderId="0" xfId="0" applyNumberFormat="1" applyFont="1" applyAlignment="1">
      <alignment horizontal="right" vertical="top" shrinkToFit="1"/>
    </xf>
    <xf numFmtId="1" fontId="17" fillId="0" borderId="0" xfId="0" applyNumberFormat="1" applyFont="1" applyAlignment="1">
      <alignment vertical="top" shrinkToFit="1"/>
    </xf>
    <xf numFmtId="0" fontId="18" fillId="0" borderId="2" xfId="0" applyFont="1" applyBorder="1" applyAlignment="1">
      <alignment vertical="top" wrapText="1"/>
    </xf>
    <xf numFmtId="1" fontId="17" fillId="0" borderId="3" xfId="0" applyNumberFormat="1" applyFont="1" applyBorder="1" applyAlignment="1">
      <alignment vertical="top" shrinkToFit="1"/>
    </xf>
    <xf numFmtId="0" fontId="15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0" fillId="0" borderId="3" xfId="0" applyBorder="1">
      <alignment vertical="center"/>
    </xf>
    <xf numFmtId="178" fontId="15" fillId="0" borderId="3" xfId="0" applyNumberFormat="1" applyFont="1" applyBorder="1" applyAlignment="1">
      <alignment vertical="top"/>
    </xf>
    <xf numFmtId="0" fontId="15" fillId="0" borderId="3" xfId="0" applyFont="1" applyBorder="1" applyAlignment="1">
      <alignment vertical="top" shrinkToFit="1"/>
    </xf>
    <xf numFmtId="178" fontId="4" fillId="0" borderId="1" xfId="0" applyNumberFormat="1" applyFont="1" applyBorder="1">
      <alignment vertical="center"/>
    </xf>
    <xf numFmtId="178" fontId="15" fillId="0" borderId="0" xfId="0" applyNumberFormat="1" applyFont="1" applyAlignment="1">
      <alignment vertical="top"/>
    </xf>
    <xf numFmtId="0" fontId="15" fillId="0" borderId="4" xfId="0" applyFont="1" applyBorder="1" applyAlignment="1">
      <alignment vertical="top"/>
    </xf>
    <xf numFmtId="178" fontId="15" fillId="0" borderId="4" xfId="0" applyNumberFormat="1" applyFont="1" applyBorder="1" applyAlignment="1">
      <alignment vertical="top"/>
    </xf>
    <xf numFmtId="1" fontId="17" fillId="0" borderId="0" xfId="0" applyNumberFormat="1" applyFont="1" applyAlignment="1">
      <alignment shrinkToFit="1"/>
    </xf>
    <xf numFmtId="0" fontId="15" fillId="0" borderId="0" xfId="0" applyFont="1" applyAlignment="1"/>
    <xf numFmtId="1" fontId="17" fillId="0" borderId="0" xfId="0" applyNumberFormat="1" applyFont="1" applyAlignment="1">
      <alignment horizontal="right" shrinkToFit="1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 applyAlignment="1">
      <alignment horizontal="left" vertical="top"/>
    </xf>
    <xf numFmtId="0" fontId="4" fillId="2" borderId="0" xfId="0" applyFont="1" applyFill="1">
      <alignment vertical="center"/>
    </xf>
    <xf numFmtId="0" fontId="19" fillId="0" borderId="0" xfId="0" applyFont="1">
      <alignment vertical="center"/>
    </xf>
    <xf numFmtId="179" fontId="4" fillId="2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 readingOrder="1"/>
    </xf>
    <xf numFmtId="0" fontId="13" fillId="2" borderId="0" xfId="0" applyFont="1" applyFill="1">
      <alignment vertical="center"/>
    </xf>
    <xf numFmtId="0" fontId="13" fillId="0" borderId="0" xfId="0" applyFont="1" applyAlignment="1">
      <alignment vertical="center" shrinkToFit="1"/>
    </xf>
    <xf numFmtId="176" fontId="13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13" fillId="5" borderId="0" xfId="0" applyFont="1" applyFill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177" fontId="4" fillId="0" borderId="1" xfId="0" applyNumberFormat="1" applyFont="1" applyBorder="1">
      <alignment vertical="center"/>
    </xf>
    <xf numFmtId="177" fontId="4" fillId="4" borderId="0" xfId="0" applyNumberFormat="1" applyFont="1" applyFill="1" applyAlignment="1">
      <alignment horizontal="right" vertical="center"/>
    </xf>
    <xf numFmtId="176" fontId="5" fillId="0" borderId="0" xfId="0" applyNumberFormat="1" applyFont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0" xfId="0" applyNumberFormat="1" applyFont="1" applyFill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7" fontId="4" fillId="5" borderId="0" xfId="0" applyNumberFormat="1" applyFont="1" applyFill="1">
      <alignment vertical="center"/>
    </xf>
    <xf numFmtId="0" fontId="15" fillId="0" borderId="0" xfId="0" applyFont="1" applyAlignment="1">
      <alignment horizontal="left"/>
    </xf>
    <xf numFmtId="180" fontId="4" fillId="0" borderId="0" xfId="0" applyNumberFormat="1" applyFont="1">
      <alignment vertical="center"/>
    </xf>
    <xf numFmtId="177" fontId="4" fillId="2" borderId="0" xfId="0" applyNumberFormat="1" applyFont="1" applyFill="1">
      <alignment vertical="center"/>
    </xf>
    <xf numFmtId="178" fontId="4" fillId="2" borderId="0" xfId="0" applyNumberFormat="1" applyFont="1" applyFill="1">
      <alignment vertical="center"/>
    </xf>
    <xf numFmtId="0" fontId="23" fillId="0" borderId="0" xfId="0" applyFont="1">
      <alignment vertical="center"/>
    </xf>
    <xf numFmtId="0" fontId="22" fillId="7" borderId="13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23" fillId="0" borderId="32" xfId="0" applyFont="1" applyBorder="1">
      <alignment vertical="center"/>
    </xf>
    <xf numFmtId="0" fontId="26" fillId="0" borderId="3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15" fillId="3" borderId="1" xfId="0" applyFont="1" applyFill="1" applyBorder="1" applyAlignment="1"/>
    <xf numFmtId="0" fontId="0" fillId="3" borderId="1" xfId="0" applyFill="1" applyBorder="1" applyAlignment="1"/>
    <xf numFmtId="0" fontId="13" fillId="3" borderId="0" xfId="0" applyFont="1" applyFill="1">
      <alignment vertical="center"/>
    </xf>
    <xf numFmtId="177" fontId="13" fillId="4" borderId="0" xfId="0" applyNumberFormat="1" applyFont="1" applyFill="1" applyAlignment="1">
      <alignment horizontal="left" vertical="center"/>
    </xf>
    <xf numFmtId="177" fontId="15" fillId="0" borderId="3" xfId="0" applyNumberFormat="1" applyFont="1" applyBorder="1" applyAlignment="1">
      <alignment vertical="top"/>
    </xf>
    <xf numFmtId="14" fontId="13" fillId="0" borderId="0" xfId="0" applyNumberFormat="1" applyFont="1">
      <alignment vertical="center"/>
    </xf>
    <xf numFmtId="178" fontId="28" fillId="0" borderId="0" xfId="0" applyNumberFormat="1" applyFont="1">
      <alignment vertical="center"/>
    </xf>
    <xf numFmtId="0" fontId="23" fillId="0" borderId="32" xfId="0" applyFont="1" applyBorder="1" applyAlignment="1">
      <alignment horizontal="center" vertical="center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11" borderId="11" xfId="0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177" fontId="24" fillId="9" borderId="14" xfId="0" applyNumberFormat="1" applyFont="1" applyFill="1" applyBorder="1" applyAlignment="1">
      <alignment horizontal="center" vertical="center" wrapText="1"/>
    </xf>
    <xf numFmtId="177" fontId="24" fillId="11" borderId="26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32" fillId="12" borderId="0" xfId="0" applyFont="1" applyFill="1">
      <alignment vertical="center"/>
    </xf>
    <xf numFmtId="0" fontId="13" fillId="12" borderId="0" xfId="0" applyFont="1" applyFill="1">
      <alignment vertical="center"/>
    </xf>
    <xf numFmtId="0" fontId="35" fillId="12" borderId="0" xfId="0" applyFont="1" applyFill="1">
      <alignment vertical="center"/>
    </xf>
    <xf numFmtId="0" fontId="22" fillId="7" borderId="48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50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30" fillId="11" borderId="24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177" fontId="24" fillId="8" borderId="24" xfId="0" applyNumberFormat="1" applyFont="1" applyFill="1" applyBorder="1" applyAlignment="1">
      <alignment horizontal="center" vertical="center" wrapText="1"/>
    </xf>
    <xf numFmtId="177" fontId="24" fillId="8" borderId="25" xfId="0" applyNumberFormat="1" applyFont="1" applyFill="1" applyBorder="1" applyAlignment="1">
      <alignment horizontal="center" vertical="center" wrapText="1"/>
    </xf>
    <xf numFmtId="0" fontId="30" fillId="11" borderId="43" xfId="0" applyFont="1" applyFill="1" applyBorder="1" applyAlignment="1">
      <alignment horizontal="center" vertical="center" wrapText="1"/>
    </xf>
    <xf numFmtId="0" fontId="30" fillId="11" borderId="44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2" fillId="11" borderId="51" xfId="0" applyFont="1" applyFill="1" applyBorder="1" applyAlignment="1">
      <alignment horizontal="center" vertical="center" wrapText="1"/>
    </xf>
    <xf numFmtId="0" fontId="22" fillId="11" borderId="52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7" borderId="53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9" borderId="10" xfId="0" applyNumberFormat="1" applyFont="1" applyFill="1" applyBorder="1" applyAlignment="1">
      <alignment horizontal="center" vertical="center" wrapText="1"/>
    </xf>
    <xf numFmtId="0" fontId="24" fillId="8" borderId="27" xfId="0" applyFont="1" applyFill="1" applyBorder="1" applyAlignment="1">
      <alignment horizontal="center" vertical="center" wrapText="1"/>
    </xf>
    <xf numFmtId="177" fontId="24" fillId="8" borderId="27" xfId="0" applyNumberFormat="1" applyFont="1" applyFill="1" applyBorder="1" applyAlignment="1">
      <alignment horizontal="center" vertical="center" wrapText="1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8" borderId="10" xfId="0" applyNumberFormat="1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177" fontId="24" fillId="9" borderId="9" xfId="0" applyNumberFormat="1" applyFont="1" applyFill="1" applyBorder="1" applyAlignment="1">
      <alignment horizontal="center" vertical="center" wrapText="1"/>
    </xf>
    <xf numFmtId="0" fontId="30" fillId="11" borderId="33" xfId="0" applyFont="1" applyFill="1" applyBorder="1" applyAlignment="1">
      <alignment horizontal="center" vertical="center" wrapText="1"/>
    </xf>
    <xf numFmtId="0" fontId="30" fillId="11" borderId="30" xfId="0" applyFont="1" applyFill="1" applyBorder="1" applyAlignment="1">
      <alignment horizontal="center" vertical="center" wrapText="1"/>
    </xf>
    <xf numFmtId="0" fontId="30" fillId="11" borderId="34" xfId="0" applyFont="1" applyFill="1" applyBorder="1" applyAlignment="1">
      <alignment horizontal="center" vertical="center" wrapText="1"/>
    </xf>
    <xf numFmtId="177" fontId="30" fillId="11" borderId="33" xfId="0" applyNumberFormat="1" applyFont="1" applyFill="1" applyBorder="1" applyAlignment="1">
      <alignment horizontal="center" vertical="center" wrapText="1"/>
    </xf>
    <xf numFmtId="177" fontId="30" fillId="11" borderId="30" xfId="0" applyNumberFormat="1" applyFont="1" applyFill="1" applyBorder="1" applyAlignment="1">
      <alignment horizontal="center" vertical="center" wrapText="1"/>
    </xf>
    <xf numFmtId="177" fontId="30" fillId="11" borderId="34" xfId="0" applyNumberFormat="1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177" fontId="30" fillId="11" borderId="35" xfId="0" applyNumberFormat="1" applyFont="1" applyFill="1" applyBorder="1" applyAlignment="1">
      <alignment horizontal="center" vertical="center" wrapText="1"/>
    </xf>
    <xf numFmtId="0" fontId="30" fillId="11" borderId="27" xfId="0" applyFont="1" applyFill="1" applyBorder="1" applyAlignment="1">
      <alignment horizontal="center" vertical="center" wrapText="1"/>
    </xf>
    <xf numFmtId="177" fontId="30" fillId="11" borderId="24" xfId="0" applyNumberFormat="1" applyFont="1" applyFill="1" applyBorder="1" applyAlignment="1">
      <alignment horizontal="center" vertical="center" wrapText="1"/>
    </xf>
    <xf numFmtId="177" fontId="30" fillId="11" borderId="27" xfId="0" applyNumberFormat="1" applyFont="1" applyFill="1" applyBorder="1" applyAlignment="1">
      <alignment horizontal="center" vertical="center" wrapText="1"/>
    </xf>
    <xf numFmtId="177" fontId="30" fillId="11" borderId="25" xfId="0" applyNumberFormat="1" applyFont="1" applyFill="1" applyBorder="1" applyAlignment="1">
      <alignment horizontal="center" vertical="center" wrapText="1"/>
    </xf>
    <xf numFmtId="177" fontId="30" fillId="11" borderId="26" xfId="0" applyNumberFormat="1" applyFont="1" applyFill="1" applyBorder="1" applyAlignment="1">
      <alignment horizontal="center" vertical="center" wrapText="1"/>
    </xf>
    <xf numFmtId="177" fontId="30" fillId="11" borderId="10" xfId="0" applyNumberFormat="1" applyFont="1" applyFill="1" applyBorder="1" applyAlignment="1">
      <alignment horizontal="center" vertical="center" wrapText="1"/>
    </xf>
    <xf numFmtId="0" fontId="24" fillId="9" borderId="37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 wrapText="1"/>
    </xf>
    <xf numFmtId="177" fontId="24" fillId="9" borderId="37" xfId="0" applyNumberFormat="1" applyFont="1" applyFill="1" applyBorder="1" applyAlignment="1">
      <alignment horizontal="center" vertical="center" wrapText="1"/>
    </xf>
    <xf numFmtId="177" fontId="24" fillId="9" borderId="38" xfId="0" applyNumberFormat="1" applyFont="1" applyFill="1" applyBorder="1" applyAlignment="1">
      <alignment horizontal="center" vertical="center" wrapText="1"/>
    </xf>
    <xf numFmtId="0" fontId="24" fillId="8" borderId="45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36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36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A42-D30C-4AB2-9DF2-587998A72524}">
  <dimension ref="A1:K50"/>
  <sheetViews>
    <sheetView tabSelected="1" topLeftCell="A5" workbookViewId="0"/>
  </sheetViews>
  <sheetFormatPr defaultColWidth="9" defaultRowHeight="18.75"/>
  <cols>
    <col min="1" max="1" width="8.5" style="43" customWidth="1"/>
    <col min="2" max="2" width="32" style="43" bestFit="1" customWidth="1"/>
    <col min="3" max="10" width="9" style="43"/>
    <col min="11" max="11" width="10.25" style="43" bestFit="1" customWidth="1"/>
    <col min="12" max="16384" width="9" style="43"/>
  </cols>
  <sheetData>
    <row r="1" spans="1:11">
      <c r="A1" s="15" t="s">
        <v>83</v>
      </c>
      <c r="K1" s="81">
        <v>45717</v>
      </c>
    </row>
    <row r="2" spans="1:11">
      <c r="A2" s="43" t="s">
        <v>85</v>
      </c>
    </row>
    <row r="3" spans="1:11">
      <c r="A3" s="43" t="s">
        <v>84</v>
      </c>
      <c r="B3" s="15"/>
    </row>
    <row r="4" spans="1:11">
      <c r="A4" s="48" t="s">
        <v>140</v>
      </c>
      <c r="B4" s="43" t="s">
        <v>148</v>
      </c>
    </row>
    <row r="5" spans="1:11">
      <c r="A5" s="43" t="s">
        <v>86</v>
      </c>
      <c r="B5" s="15"/>
    </row>
    <row r="7" spans="1:11">
      <c r="A7" s="43" t="s">
        <v>97</v>
      </c>
      <c r="B7" s="16"/>
    </row>
    <row r="8" spans="1:11">
      <c r="A8" s="48" t="s">
        <v>70</v>
      </c>
      <c r="B8" s="43" t="s">
        <v>113</v>
      </c>
    </row>
    <row r="9" spans="1:11">
      <c r="A9" s="48" t="s">
        <v>70</v>
      </c>
      <c r="B9" s="43" t="s">
        <v>114</v>
      </c>
    </row>
    <row r="10" spans="1:11">
      <c r="A10" s="48" t="s">
        <v>70</v>
      </c>
      <c r="B10" s="16" t="s">
        <v>81</v>
      </c>
    </row>
    <row r="11" spans="1:11">
      <c r="A11" s="48" t="s">
        <v>70</v>
      </c>
      <c r="B11" s="16" t="s">
        <v>82</v>
      </c>
    </row>
    <row r="12" spans="1:11" ht="24.75">
      <c r="A12" s="48" t="s">
        <v>70</v>
      </c>
      <c r="B12" s="16" t="s">
        <v>87</v>
      </c>
    </row>
    <row r="13" spans="1:11">
      <c r="A13" s="48" t="s">
        <v>70</v>
      </c>
      <c r="B13" s="16" t="s">
        <v>78</v>
      </c>
    </row>
    <row r="14" spans="1:11">
      <c r="B14" s="16" t="s">
        <v>79</v>
      </c>
    </row>
    <row r="15" spans="1:11">
      <c r="B15" s="16" t="s">
        <v>80</v>
      </c>
    </row>
    <row r="17" spans="1:3">
      <c r="A17" s="43" t="s">
        <v>144</v>
      </c>
    </row>
    <row r="18" spans="1:3">
      <c r="A18" s="48" t="s">
        <v>70</v>
      </c>
      <c r="B18" s="78" t="s">
        <v>106</v>
      </c>
    </row>
    <row r="19" spans="1:3">
      <c r="A19" s="48" t="s">
        <v>70</v>
      </c>
      <c r="B19" s="78" t="s">
        <v>95</v>
      </c>
    </row>
    <row r="20" spans="1:3">
      <c r="A20" s="48" t="s">
        <v>70</v>
      </c>
      <c r="B20" s="78" t="s">
        <v>96</v>
      </c>
    </row>
    <row r="21" spans="1:3">
      <c r="A21" s="48" t="s">
        <v>70</v>
      </c>
      <c r="B21" s="43" t="s">
        <v>276</v>
      </c>
    </row>
    <row r="22" spans="1:3">
      <c r="A22" s="48"/>
      <c r="B22" s="43" t="s">
        <v>146</v>
      </c>
    </row>
    <row r="23" spans="1:3">
      <c r="A23" s="48"/>
      <c r="B23" s="79" t="s">
        <v>149</v>
      </c>
      <c r="C23" s="79"/>
    </row>
    <row r="24" spans="1:3">
      <c r="A24" s="48"/>
      <c r="B24" s="51" t="s">
        <v>150</v>
      </c>
      <c r="C24" s="51"/>
    </row>
    <row r="25" spans="1:3">
      <c r="A25" s="48"/>
    </row>
    <row r="26" spans="1:3">
      <c r="A26" s="48" t="s">
        <v>70</v>
      </c>
      <c r="B26" s="43" t="s">
        <v>147</v>
      </c>
    </row>
    <row r="28" spans="1:3">
      <c r="A28" s="43" t="s">
        <v>66</v>
      </c>
    </row>
    <row r="29" spans="1:3">
      <c r="A29" s="43" t="s">
        <v>152</v>
      </c>
    </row>
    <row r="30" spans="1:3">
      <c r="A30" s="44" t="s">
        <v>67</v>
      </c>
    </row>
    <row r="31" spans="1:3">
      <c r="A31" s="44" t="s">
        <v>145</v>
      </c>
    </row>
    <row r="32" spans="1:3">
      <c r="A32" s="44" t="s">
        <v>142</v>
      </c>
    </row>
    <row r="33" spans="1:9">
      <c r="B33" s="43" t="s">
        <v>273</v>
      </c>
    </row>
    <row r="34" spans="1:9">
      <c r="B34" s="43" t="s">
        <v>285</v>
      </c>
    </row>
    <row r="35" spans="1:9">
      <c r="A35" s="104"/>
      <c r="B35" s="105" t="s">
        <v>151</v>
      </c>
      <c r="C35" s="104"/>
      <c r="D35" s="104"/>
      <c r="E35" s="104"/>
      <c r="F35" s="104"/>
    </row>
    <row r="36" spans="1:9">
      <c r="A36" s="44" t="s">
        <v>141</v>
      </c>
    </row>
    <row r="38" spans="1:9">
      <c r="A38" s="43" t="s">
        <v>69</v>
      </c>
    </row>
    <row r="39" spans="1:9">
      <c r="A39" s="43" t="s">
        <v>88</v>
      </c>
    </row>
    <row r="40" spans="1:9">
      <c r="A40" s="3" t="s">
        <v>4</v>
      </c>
      <c r="B40" s="3" t="s">
        <v>5</v>
      </c>
      <c r="C40" s="3" t="s">
        <v>6</v>
      </c>
      <c r="D40" s="3" t="s">
        <v>7</v>
      </c>
      <c r="E40" s="5" t="s">
        <v>2</v>
      </c>
      <c r="F40" s="12" t="s">
        <v>27</v>
      </c>
      <c r="G40" s="12" t="s">
        <v>109</v>
      </c>
      <c r="H40" s="12" t="s">
        <v>105</v>
      </c>
      <c r="I40" s="12" t="s">
        <v>19</v>
      </c>
    </row>
    <row r="41" spans="1:9">
      <c r="A41" s="45" t="s">
        <v>68</v>
      </c>
      <c r="B41" s="45" t="s">
        <v>68</v>
      </c>
      <c r="C41" s="45" t="s">
        <v>68</v>
      </c>
      <c r="D41" s="45" t="s">
        <v>68</v>
      </c>
      <c r="E41" s="45" t="s">
        <v>68</v>
      </c>
      <c r="F41" s="45" t="s">
        <v>68</v>
      </c>
      <c r="G41" s="45" t="s">
        <v>68</v>
      </c>
      <c r="H41" s="45" t="s">
        <v>68</v>
      </c>
      <c r="I41" s="45" t="s">
        <v>68</v>
      </c>
    </row>
    <row r="43" spans="1:9">
      <c r="A43" s="43" t="s">
        <v>73</v>
      </c>
    </row>
    <row r="44" spans="1:9">
      <c r="A44" s="47" t="s">
        <v>9</v>
      </c>
      <c r="B44" s="43" t="s">
        <v>275</v>
      </c>
    </row>
    <row r="45" spans="1:9">
      <c r="A45" s="43" t="s">
        <v>21</v>
      </c>
      <c r="B45" s="43" t="s">
        <v>76</v>
      </c>
    </row>
    <row r="46" spans="1:9">
      <c r="A46" s="43" t="s">
        <v>11</v>
      </c>
      <c r="B46" s="43" t="s">
        <v>77</v>
      </c>
    </row>
    <row r="47" spans="1:9">
      <c r="A47" s="43" t="s">
        <v>110</v>
      </c>
      <c r="B47" s="46" t="s">
        <v>71</v>
      </c>
      <c r="C47" s="43" t="s">
        <v>75</v>
      </c>
    </row>
    <row r="48" spans="1:9">
      <c r="A48" s="43" t="s">
        <v>111</v>
      </c>
      <c r="B48" s="46" t="s">
        <v>72</v>
      </c>
      <c r="C48" s="43" t="s">
        <v>74</v>
      </c>
    </row>
    <row r="50" spans="1:7" s="102" customFormat="1">
      <c r="A50" s="105" t="s">
        <v>108</v>
      </c>
      <c r="B50" s="105" t="s">
        <v>112</v>
      </c>
      <c r="C50" s="103" t="s">
        <v>153</v>
      </c>
      <c r="D50" s="103"/>
      <c r="E50" s="103"/>
      <c r="F50" s="103"/>
      <c r="G50" s="10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93E3-25E8-4512-881C-AA5F719DEAFF}">
  <sheetPr>
    <pageSetUpPr fitToPage="1"/>
  </sheetPr>
  <dimension ref="A1:Q27"/>
  <sheetViews>
    <sheetView zoomScale="90" zoomScaleNormal="90" workbookViewId="0">
      <pane xSplit="1" ySplit="5" topLeftCell="B6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/>
  <cols>
    <col min="1" max="3" width="10.625" customWidth="1"/>
    <col min="4" max="5" width="11.75" customWidth="1"/>
    <col min="6" max="6" width="3.875" customWidth="1"/>
    <col min="7" max="8" width="11.75" customWidth="1"/>
    <col min="9" max="10" width="3.375" customWidth="1"/>
    <col min="11" max="11" width="11.75" customWidth="1"/>
    <col min="12" max="13" width="3" customWidth="1"/>
    <col min="14" max="14" width="11.75" customWidth="1"/>
    <col min="15" max="15" width="2.875" customWidth="1"/>
    <col min="17" max="17" width="8.625" style="88"/>
  </cols>
  <sheetData>
    <row r="1" spans="1:17" s="67" customFormat="1" ht="24">
      <c r="A1" s="71" t="s">
        <v>133</v>
      </c>
      <c r="B1" s="71"/>
      <c r="C1" s="71"/>
      <c r="Q1" s="89"/>
    </row>
    <row r="2" spans="1:17" s="67" customFormat="1" ht="24.75" thickBot="1">
      <c r="A2" s="71" t="s">
        <v>277</v>
      </c>
      <c r="B2" s="71"/>
      <c r="C2" s="71"/>
      <c r="Q2" s="89"/>
    </row>
    <row r="3" spans="1:17" ht="20.25" customHeight="1" thickTop="1" thickBot="1">
      <c r="A3" s="106" t="s">
        <v>115</v>
      </c>
      <c r="B3" s="107"/>
      <c r="C3" s="107"/>
      <c r="D3" s="140" t="s">
        <v>116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  <c r="Q3" s="136" t="s">
        <v>156</v>
      </c>
    </row>
    <row r="4" spans="1:17" ht="20.25" customHeight="1" thickTop="1" thickBot="1">
      <c r="A4" s="108"/>
      <c r="B4" s="109"/>
      <c r="C4" s="109"/>
      <c r="D4" s="149" t="s">
        <v>117</v>
      </c>
      <c r="E4" s="149"/>
      <c r="F4" s="149"/>
      <c r="G4" s="149"/>
      <c r="H4" s="150" t="s">
        <v>118</v>
      </c>
      <c r="I4" s="151"/>
      <c r="J4" s="151"/>
      <c r="K4" s="151"/>
      <c r="L4" s="151"/>
      <c r="M4" s="151"/>
      <c r="N4" s="151"/>
      <c r="O4" s="152"/>
      <c r="Q4" s="136"/>
    </row>
    <row r="5" spans="1:17" ht="20.25" thickTop="1" thickBot="1">
      <c r="A5" s="108"/>
      <c r="B5" s="109"/>
      <c r="C5" s="109"/>
      <c r="D5" s="68" t="s">
        <v>137</v>
      </c>
      <c r="E5" s="153" t="s">
        <v>138</v>
      </c>
      <c r="F5" s="154"/>
      <c r="G5" s="68" t="s">
        <v>119</v>
      </c>
      <c r="H5" s="156" t="s">
        <v>139</v>
      </c>
      <c r="I5" s="157"/>
      <c r="J5" s="158"/>
      <c r="K5" s="153" t="s">
        <v>120</v>
      </c>
      <c r="L5" s="159"/>
      <c r="M5" s="154"/>
      <c r="N5" s="160" t="s">
        <v>121</v>
      </c>
      <c r="O5" s="161"/>
      <c r="Q5" s="137"/>
    </row>
    <row r="6" spans="1:17" ht="29.25" customHeight="1" thickTop="1" thickBot="1">
      <c r="A6" s="110" t="s">
        <v>122</v>
      </c>
      <c r="B6" s="111"/>
      <c r="C6" s="112"/>
      <c r="D6" s="69">
        <v>0.5</v>
      </c>
      <c r="E6" s="120" t="s">
        <v>123</v>
      </c>
      <c r="F6" s="121"/>
      <c r="G6" s="69" t="s">
        <v>123</v>
      </c>
      <c r="H6" s="120">
        <v>1.4</v>
      </c>
      <c r="I6" s="145"/>
      <c r="J6" s="121"/>
      <c r="K6" s="124">
        <v>1.2</v>
      </c>
      <c r="L6" s="146"/>
      <c r="M6" s="125"/>
      <c r="N6" s="147">
        <v>1.4</v>
      </c>
      <c r="O6" s="148"/>
      <c r="Q6" s="84">
        <v>1.6</v>
      </c>
    </row>
    <row r="7" spans="1:17" ht="29.25" customHeight="1" thickTop="1" thickBot="1">
      <c r="A7" s="113" t="s">
        <v>124</v>
      </c>
      <c r="B7" s="114"/>
      <c r="C7" s="115"/>
      <c r="D7" s="70">
        <v>0.5</v>
      </c>
      <c r="E7" s="116">
        <v>1.6</v>
      </c>
      <c r="F7" s="117"/>
      <c r="G7" s="70" t="s">
        <v>123</v>
      </c>
      <c r="H7" s="116">
        <v>1.2</v>
      </c>
      <c r="I7" s="162"/>
      <c r="J7" s="117"/>
      <c r="K7" s="143">
        <v>1</v>
      </c>
      <c r="L7" s="163"/>
      <c r="M7" s="144"/>
      <c r="N7" s="143">
        <v>1.2</v>
      </c>
      <c r="O7" s="144"/>
      <c r="Q7" s="85">
        <v>1.4</v>
      </c>
    </row>
    <row r="8" spans="1:17" ht="29.25" customHeight="1" thickTop="1" thickBot="1">
      <c r="A8" s="113" t="s">
        <v>125</v>
      </c>
      <c r="B8" s="114"/>
      <c r="C8" s="115"/>
      <c r="D8" s="69">
        <v>0.5</v>
      </c>
      <c r="E8" s="138">
        <v>1.4</v>
      </c>
      <c r="F8" s="139"/>
      <c r="G8" s="69" t="s">
        <v>123</v>
      </c>
      <c r="H8" s="120">
        <v>1.6</v>
      </c>
      <c r="I8" s="145"/>
      <c r="J8" s="121"/>
      <c r="K8" s="124">
        <v>1.4</v>
      </c>
      <c r="L8" s="146"/>
      <c r="M8" s="125"/>
      <c r="N8" s="147">
        <v>1.6</v>
      </c>
      <c r="O8" s="148"/>
      <c r="Q8" s="84">
        <v>1.6</v>
      </c>
    </row>
    <row r="9" spans="1:17" ht="29.25" customHeight="1" thickTop="1" thickBot="1">
      <c r="A9" s="113" t="s">
        <v>126</v>
      </c>
      <c r="B9" s="114"/>
      <c r="C9" s="115"/>
      <c r="D9" s="70">
        <v>0.7</v>
      </c>
      <c r="E9" s="116">
        <v>0.7</v>
      </c>
      <c r="F9" s="117"/>
      <c r="G9" s="70" t="s">
        <v>123</v>
      </c>
      <c r="H9" s="116">
        <v>1.2</v>
      </c>
      <c r="I9" s="162"/>
      <c r="J9" s="117"/>
      <c r="K9" s="143">
        <v>1</v>
      </c>
      <c r="L9" s="163"/>
      <c r="M9" s="144"/>
      <c r="N9" s="143">
        <v>1.2</v>
      </c>
      <c r="O9" s="144"/>
      <c r="Q9" s="85">
        <v>1.5</v>
      </c>
    </row>
    <row r="10" spans="1:17" ht="29.25" customHeight="1" thickTop="1" thickBot="1">
      <c r="A10" s="130" t="s">
        <v>127</v>
      </c>
      <c r="B10" s="131"/>
      <c r="C10" s="132"/>
      <c r="D10" s="90">
        <v>0.6</v>
      </c>
      <c r="E10" s="126">
        <v>0.7</v>
      </c>
      <c r="F10" s="127"/>
      <c r="G10" s="90" t="s">
        <v>123</v>
      </c>
      <c r="H10" s="164">
        <v>1.8</v>
      </c>
      <c r="I10" s="165"/>
      <c r="J10" s="166"/>
      <c r="K10" s="167">
        <v>1.6</v>
      </c>
      <c r="L10" s="168"/>
      <c r="M10" s="169"/>
      <c r="N10" s="170">
        <v>1.8</v>
      </c>
      <c r="O10" s="171"/>
      <c r="Q10" s="91" t="s">
        <v>159</v>
      </c>
    </row>
    <row r="11" spans="1:17" ht="29.25" customHeight="1" thickBot="1">
      <c r="A11" s="74"/>
      <c r="B11" s="74"/>
      <c r="C11" s="74"/>
      <c r="D11" s="73"/>
      <c r="E11" s="128"/>
      <c r="F11" s="129"/>
      <c r="G11" s="73"/>
      <c r="H11" s="155"/>
      <c r="I11" s="155"/>
      <c r="J11" s="155"/>
      <c r="K11" s="155"/>
      <c r="L11" s="155"/>
      <c r="M11" s="155"/>
      <c r="N11" s="155"/>
      <c r="O11" s="155"/>
      <c r="Q11" s="83"/>
    </row>
    <row r="12" spans="1:17" ht="29.25" customHeight="1" thickBot="1">
      <c r="A12" s="133" t="s">
        <v>128</v>
      </c>
      <c r="B12" s="134"/>
      <c r="C12" s="135"/>
      <c r="D12" s="69">
        <v>0.4</v>
      </c>
      <c r="E12" s="182" t="s">
        <v>123</v>
      </c>
      <c r="F12" s="183"/>
      <c r="G12" s="69" t="s">
        <v>123</v>
      </c>
      <c r="H12" s="184">
        <v>1.4</v>
      </c>
      <c r="I12" s="185"/>
      <c r="J12" s="186"/>
      <c r="K12" s="187">
        <v>1.2</v>
      </c>
      <c r="L12" s="188"/>
      <c r="M12" s="189"/>
      <c r="N12" s="187">
        <v>1.4</v>
      </c>
      <c r="O12" s="189"/>
      <c r="Q12" s="86">
        <v>1.6</v>
      </c>
    </row>
    <row r="13" spans="1:17" ht="29.25" customHeight="1" thickTop="1" thickBot="1">
      <c r="A13" s="133" t="s">
        <v>129</v>
      </c>
      <c r="B13" s="134"/>
      <c r="C13" s="135"/>
      <c r="D13" s="70">
        <v>0.3</v>
      </c>
      <c r="E13" s="116">
        <v>1.3</v>
      </c>
      <c r="F13" s="117"/>
      <c r="G13" s="70" t="s">
        <v>123</v>
      </c>
      <c r="H13" s="116">
        <v>1.2</v>
      </c>
      <c r="I13" s="162"/>
      <c r="J13" s="117"/>
      <c r="K13" s="143">
        <v>1</v>
      </c>
      <c r="L13" s="163"/>
      <c r="M13" s="144"/>
      <c r="N13" s="143">
        <v>1.2</v>
      </c>
      <c r="O13" s="144"/>
      <c r="Q13" s="85">
        <v>1.4</v>
      </c>
    </row>
    <row r="14" spans="1:17" ht="29.25" customHeight="1" thickTop="1" thickBot="1">
      <c r="A14" s="133" t="s">
        <v>130</v>
      </c>
      <c r="B14" s="134"/>
      <c r="C14" s="135"/>
      <c r="D14" s="69">
        <v>0.3</v>
      </c>
      <c r="E14" s="138">
        <v>1.2</v>
      </c>
      <c r="F14" s="139"/>
      <c r="G14" s="69" t="s">
        <v>123</v>
      </c>
      <c r="H14" s="120">
        <v>1.8</v>
      </c>
      <c r="I14" s="145"/>
      <c r="J14" s="121"/>
      <c r="K14" s="124">
        <v>1.6</v>
      </c>
      <c r="L14" s="146"/>
      <c r="M14" s="125"/>
      <c r="N14" s="147">
        <v>1.8</v>
      </c>
      <c r="O14" s="148"/>
      <c r="Q14" s="84">
        <v>1.6</v>
      </c>
    </row>
    <row r="15" spans="1:17" ht="29.25" customHeight="1" thickTop="1" thickBot="1">
      <c r="A15" s="133" t="s">
        <v>131</v>
      </c>
      <c r="B15" s="134"/>
      <c r="C15" s="135"/>
      <c r="D15" s="70">
        <v>0.4</v>
      </c>
      <c r="E15" s="178">
        <v>0.6</v>
      </c>
      <c r="F15" s="179"/>
      <c r="G15" s="70" t="s">
        <v>123</v>
      </c>
      <c r="H15" s="116">
        <v>1.4</v>
      </c>
      <c r="I15" s="162"/>
      <c r="J15" s="117"/>
      <c r="K15" s="143">
        <v>1.2</v>
      </c>
      <c r="L15" s="163"/>
      <c r="M15" s="144"/>
      <c r="N15" s="143">
        <v>1.4</v>
      </c>
      <c r="O15" s="144"/>
      <c r="Q15" s="85">
        <v>1.8</v>
      </c>
    </row>
    <row r="16" spans="1:17" ht="29.25" customHeight="1" thickTop="1" thickBot="1">
      <c r="A16" s="190" t="s">
        <v>132</v>
      </c>
      <c r="B16" s="191"/>
      <c r="C16" s="192"/>
      <c r="D16" s="92">
        <v>0.4</v>
      </c>
      <c r="E16" s="122">
        <v>0.5</v>
      </c>
      <c r="F16" s="123"/>
      <c r="G16" s="92" t="s">
        <v>123</v>
      </c>
      <c r="H16" s="122">
        <v>1.8</v>
      </c>
      <c r="I16" s="172"/>
      <c r="J16" s="123"/>
      <c r="K16" s="173">
        <v>1.6</v>
      </c>
      <c r="L16" s="174"/>
      <c r="M16" s="175"/>
      <c r="N16" s="176">
        <v>1.8</v>
      </c>
      <c r="O16" s="177"/>
      <c r="Q16" s="94" t="s">
        <v>159</v>
      </c>
    </row>
    <row r="17" spans="1:15" ht="29.25" customHeight="1" thickTop="1" thickBot="1">
      <c r="A17" s="74"/>
      <c r="B17" s="74"/>
      <c r="C17" s="74"/>
      <c r="D17" s="73"/>
      <c r="E17" s="118"/>
      <c r="F17" s="119"/>
      <c r="G17" s="73"/>
      <c r="H17" s="155"/>
      <c r="I17" s="155"/>
      <c r="J17" s="155"/>
      <c r="K17" s="155"/>
      <c r="L17" s="155"/>
      <c r="M17" s="155"/>
      <c r="N17" s="155"/>
      <c r="O17" s="155"/>
    </row>
    <row r="18" spans="1:15" ht="29.25" customHeight="1" thickTop="1" thickBot="1">
      <c r="A18" s="133" t="s">
        <v>157</v>
      </c>
      <c r="B18" s="134"/>
      <c r="C18" s="135"/>
      <c r="D18" s="69">
        <v>0.2</v>
      </c>
      <c r="E18" s="120" t="s">
        <v>123</v>
      </c>
      <c r="F18" s="121"/>
      <c r="G18" s="87">
        <v>1</v>
      </c>
      <c r="H18" s="120">
        <v>1.4</v>
      </c>
      <c r="I18" s="145"/>
      <c r="J18" s="121"/>
      <c r="K18" s="124">
        <v>1.2</v>
      </c>
      <c r="L18" s="146"/>
      <c r="M18" s="125"/>
      <c r="N18" s="147">
        <v>1.4</v>
      </c>
      <c r="O18" s="148"/>
    </row>
    <row r="19" spans="1:15" ht="29.25" customHeight="1" thickTop="1" thickBot="1">
      <c r="A19" s="133" t="s">
        <v>166</v>
      </c>
      <c r="B19" s="134"/>
      <c r="C19" s="135"/>
      <c r="D19" s="70">
        <v>0.2</v>
      </c>
      <c r="E19" s="180">
        <v>1</v>
      </c>
      <c r="F19" s="181"/>
      <c r="G19" s="70">
        <v>1.1000000000000001</v>
      </c>
      <c r="H19" s="116">
        <v>1.6</v>
      </c>
      <c r="I19" s="162"/>
      <c r="J19" s="117"/>
      <c r="K19" s="143">
        <v>1.4</v>
      </c>
      <c r="L19" s="163"/>
      <c r="M19" s="144"/>
      <c r="N19" s="143">
        <v>1.6</v>
      </c>
      <c r="O19" s="144"/>
    </row>
    <row r="20" spans="1:15" ht="29.25" customHeight="1" thickTop="1" thickBot="1">
      <c r="A20" s="133" t="s">
        <v>158</v>
      </c>
      <c r="B20" s="134"/>
      <c r="C20" s="135"/>
      <c r="D20" s="69">
        <v>0.2</v>
      </c>
      <c r="E20" s="124">
        <v>0.8</v>
      </c>
      <c r="F20" s="125"/>
      <c r="G20" s="87">
        <v>1</v>
      </c>
      <c r="H20" s="120">
        <v>1.3</v>
      </c>
      <c r="I20" s="145"/>
      <c r="J20" s="121"/>
      <c r="K20" s="124">
        <v>1.1000000000000001</v>
      </c>
      <c r="L20" s="146"/>
      <c r="M20" s="125"/>
      <c r="N20" s="147">
        <v>1.3</v>
      </c>
      <c r="O20" s="148"/>
    </row>
    <row r="21" spans="1:15" ht="29.25" customHeight="1" thickTop="1" thickBot="1">
      <c r="A21" s="133" t="s">
        <v>167</v>
      </c>
      <c r="B21" s="134"/>
      <c r="C21" s="135"/>
      <c r="D21" s="70">
        <v>0.2</v>
      </c>
      <c r="E21" s="180">
        <v>0.8</v>
      </c>
      <c r="F21" s="181"/>
      <c r="G21" s="93">
        <v>1</v>
      </c>
      <c r="H21" s="116">
        <v>1.5</v>
      </c>
      <c r="I21" s="162"/>
      <c r="J21" s="117"/>
      <c r="K21" s="143">
        <v>1.3</v>
      </c>
      <c r="L21" s="163"/>
      <c r="M21" s="144"/>
      <c r="N21" s="143">
        <v>1.5</v>
      </c>
      <c r="O21" s="144"/>
    </row>
    <row r="22" spans="1:15" ht="29.25" customHeight="1" thickTop="1" thickBot="1">
      <c r="A22" s="133" t="s">
        <v>168</v>
      </c>
      <c r="B22" s="134"/>
      <c r="C22" s="135"/>
      <c r="D22" s="69">
        <v>0.3</v>
      </c>
      <c r="E22" s="124" t="s">
        <v>123</v>
      </c>
      <c r="F22" s="125"/>
      <c r="G22" s="69" t="s">
        <v>123</v>
      </c>
      <c r="H22" s="120">
        <v>1.4</v>
      </c>
      <c r="I22" s="145"/>
      <c r="J22" s="121"/>
      <c r="K22" s="124">
        <v>1.2</v>
      </c>
      <c r="L22" s="146"/>
      <c r="M22" s="125"/>
      <c r="N22" s="147">
        <v>1.4</v>
      </c>
      <c r="O22" s="148"/>
    </row>
    <row r="23" spans="1:15" ht="29.25" customHeight="1" thickTop="1" thickBot="1">
      <c r="A23" s="133" t="s">
        <v>169</v>
      </c>
      <c r="B23" s="134"/>
      <c r="C23" s="135"/>
      <c r="D23" s="70">
        <v>0.3</v>
      </c>
      <c r="E23" s="180">
        <v>0.8</v>
      </c>
      <c r="F23" s="181"/>
      <c r="G23" s="70" t="s">
        <v>123</v>
      </c>
      <c r="H23" s="116">
        <v>1.6</v>
      </c>
      <c r="I23" s="162"/>
      <c r="J23" s="117"/>
      <c r="K23" s="143">
        <v>1.4</v>
      </c>
      <c r="L23" s="163"/>
      <c r="M23" s="144"/>
      <c r="N23" s="143">
        <v>1.6</v>
      </c>
      <c r="O23" s="144"/>
    </row>
    <row r="24" spans="1:15" ht="29.25" customHeight="1" thickTop="1" thickBot="1">
      <c r="A24" s="133" t="s">
        <v>170</v>
      </c>
      <c r="B24" s="134"/>
      <c r="C24" s="135"/>
      <c r="D24" s="69">
        <v>0.3</v>
      </c>
      <c r="E24" s="124">
        <v>1</v>
      </c>
      <c r="F24" s="125"/>
      <c r="G24" s="69" t="s">
        <v>123</v>
      </c>
      <c r="H24" s="120">
        <v>2.2000000000000002</v>
      </c>
      <c r="I24" s="145"/>
      <c r="J24" s="121"/>
      <c r="K24" s="124">
        <v>2</v>
      </c>
      <c r="L24" s="146"/>
      <c r="M24" s="125"/>
      <c r="N24" s="147">
        <v>2.2000000000000002</v>
      </c>
      <c r="O24" s="148"/>
    </row>
    <row r="25" spans="1:15" ht="29.25" customHeight="1" thickTop="1" thickBot="1">
      <c r="A25" s="133" t="s">
        <v>171</v>
      </c>
      <c r="B25" s="134"/>
      <c r="C25" s="135"/>
      <c r="D25" s="70">
        <v>0.3</v>
      </c>
      <c r="E25" s="180">
        <v>0.6</v>
      </c>
      <c r="F25" s="181"/>
      <c r="G25" s="70" t="s">
        <v>123</v>
      </c>
      <c r="H25" s="116">
        <v>1.8</v>
      </c>
      <c r="I25" s="162"/>
      <c r="J25" s="117"/>
      <c r="K25" s="143">
        <v>1.6</v>
      </c>
      <c r="L25" s="163"/>
      <c r="M25" s="144"/>
      <c r="N25" s="143">
        <v>1.8</v>
      </c>
      <c r="O25" s="144"/>
    </row>
    <row r="26" spans="1:15" ht="29.25" customHeight="1" thickTop="1" thickBot="1">
      <c r="A26" s="133" t="s">
        <v>172</v>
      </c>
      <c r="B26" s="134"/>
      <c r="C26" s="135"/>
      <c r="D26" s="69" t="s">
        <v>123</v>
      </c>
      <c r="E26" s="120">
        <v>0.6</v>
      </c>
      <c r="F26" s="121"/>
      <c r="G26" s="69" t="s">
        <v>123</v>
      </c>
      <c r="H26" s="120">
        <v>1.2</v>
      </c>
      <c r="I26" s="145"/>
      <c r="J26" s="121"/>
      <c r="K26" s="124">
        <v>1</v>
      </c>
      <c r="L26" s="146"/>
      <c r="M26" s="125"/>
      <c r="N26" s="147">
        <v>1.2</v>
      </c>
      <c r="O26" s="148"/>
    </row>
    <row r="27" spans="1:15" ht="29.25" customHeight="1" thickTop="1" thickBot="1">
      <c r="A27" s="74"/>
      <c r="B27" s="74"/>
      <c r="C27" s="74"/>
      <c r="D27" s="73"/>
      <c r="E27" s="118"/>
      <c r="F27" s="119"/>
      <c r="G27" s="73"/>
      <c r="H27" s="155"/>
      <c r="I27" s="155"/>
      <c r="J27" s="155"/>
      <c r="K27" s="155"/>
      <c r="L27" s="155"/>
      <c r="M27" s="155"/>
      <c r="N27" s="155"/>
      <c r="O27" s="155"/>
    </row>
  </sheetData>
  <mergeCells count="116">
    <mergeCell ref="A26:C26"/>
    <mergeCell ref="A21:C21"/>
    <mergeCell ref="A22:C22"/>
    <mergeCell ref="A23:C23"/>
    <mergeCell ref="A24:C24"/>
    <mergeCell ref="A25:C25"/>
    <mergeCell ref="A15:C15"/>
    <mergeCell ref="A16:C16"/>
    <mergeCell ref="A18:C18"/>
    <mergeCell ref="A19:C19"/>
    <mergeCell ref="A20:C20"/>
    <mergeCell ref="H13:J13"/>
    <mergeCell ref="K13:M13"/>
    <mergeCell ref="N13:O13"/>
    <mergeCell ref="E12:F12"/>
    <mergeCell ref="H12:J12"/>
    <mergeCell ref="K12:M12"/>
    <mergeCell ref="N12:O12"/>
    <mergeCell ref="E14:F14"/>
    <mergeCell ref="H14:J14"/>
    <mergeCell ref="K14:M14"/>
    <mergeCell ref="N14:O14"/>
    <mergeCell ref="E23:F23"/>
    <mergeCell ref="H23:J23"/>
    <mergeCell ref="K23:M23"/>
    <mergeCell ref="N23:O23"/>
    <mergeCell ref="E19:F19"/>
    <mergeCell ref="H19:J19"/>
    <mergeCell ref="K19:M19"/>
    <mergeCell ref="N19:O19"/>
    <mergeCell ref="E21:F21"/>
    <mergeCell ref="H21:J21"/>
    <mergeCell ref="E27:F27"/>
    <mergeCell ref="H27:J27"/>
    <mergeCell ref="K27:M27"/>
    <mergeCell ref="N27:O27"/>
    <mergeCell ref="E15:F15"/>
    <mergeCell ref="H15:J15"/>
    <mergeCell ref="K15:M15"/>
    <mergeCell ref="N15:O15"/>
    <mergeCell ref="E20:F20"/>
    <mergeCell ref="H20:J20"/>
    <mergeCell ref="K20:M20"/>
    <mergeCell ref="N20:O20"/>
    <mergeCell ref="K17:M17"/>
    <mergeCell ref="N17:O17"/>
    <mergeCell ref="E25:F25"/>
    <mergeCell ref="H25:J25"/>
    <mergeCell ref="E24:F24"/>
    <mergeCell ref="H24:J24"/>
    <mergeCell ref="K24:M24"/>
    <mergeCell ref="N24:O24"/>
    <mergeCell ref="E26:F26"/>
    <mergeCell ref="H26:J26"/>
    <mergeCell ref="K26:M26"/>
    <mergeCell ref="N26:O26"/>
    <mergeCell ref="K25:M25"/>
    <mergeCell ref="N25:O25"/>
    <mergeCell ref="H22:J22"/>
    <mergeCell ref="K22:M22"/>
    <mergeCell ref="N22:O22"/>
    <mergeCell ref="H16:J16"/>
    <mergeCell ref="K16:M16"/>
    <mergeCell ref="N16:O16"/>
    <mergeCell ref="H18:J18"/>
    <mergeCell ref="K18:M18"/>
    <mergeCell ref="N18:O18"/>
    <mergeCell ref="H17:J17"/>
    <mergeCell ref="K21:M21"/>
    <mergeCell ref="N21:O21"/>
    <mergeCell ref="K11:M11"/>
    <mergeCell ref="N11:O11"/>
    <mergeCell ref="H6:J6"/>
    <mergeCell ref="H5:J5"/>
    <mergeCell ref="K5:M5"/>
    <mergeCell ref="N5:O5"/>
    <mergeCell ref="N6:O6"/>
    <mergeCell ref="K6:M6"/>
    <mergeCell ref="H7:J7"/>
    <mergeCell ref="K7:M7"/>
    <mergeCell ref="H11:J11"/>
    <mergeCell ref="H10:J10"/>
    <mergeCell ref="K10:M10"/>
    <mergeCell ref="N10:O10"/>
    <mergeCell ref="H9:J9"/>
    <mergeCell ref="K9:M9"/>
    <mergeCell ref="N9:O9"/>
    <mergeCell ref="Q3:Q5"/>
    <mergeCell ref="E6:F6"/>
    <mergeCell ref="E7:F7"/>
    <mergeCell ref="E8:F8"/>
    <mergeCell ref="D3:O3"/>
    <mergeCell ref="N7:O7"/>
    <mergeCell ref="H8:J8"/>
    <mergeCell ref="K8:M8"/>
    <mergeCell ref="N8:O8"/>
    <mergeCell ref="D4:G4"/>
    <mergeCell ref="H4:O4"/>
    <mergeCell ref="E5:F5"/>
    <mergeCell ref="A3:C5"/>
    <mergeCell ref="A6:C6"/>
    <mergeCell ref="A7:C7"/>
    <mergeCell ref="A8:C8"/>
    <mergeCell ref="E13:F13"/>
    <mergeCell ref="E17:F17"/>
    <mergeCell ref="E18:F18"/>
    <mergeCell ref="E16:F16"/>
    <mergeCell ref="E22:F22"/>
    <mergeCell ref="E10:F10"/>
    <mergeCell ref="E11:F11"/>
    <mergeCell ref="A9:C9"/>
    <mergeCell ref="A10:C10"/>
    <mergeCell ref="A12:C12"/>
    <mergeCell ref="A13:C13"/>
    <mergeCell ref="A14:C14"/>
    <mergeCell ref="E9:F9"/>
  </mergeCells>
  <phoneticPr fontId="1"/>
  <pageMargins left="0.25" right="0.25" top="0.75" bottom="0.75" header="0.3" footer="0.3"/>
  <pageSetup paperSize="9" scale="3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B530-46B5-4930-AACC-5A78AE81DFAB}">
  <sheetPr>
    <tabColor rgb="FFFFC000"/>
  </sheetPr>
  <dimension ref="A1:AM588"/>
  <sheetViews>
    <sheetView view="pageBreakPreview" zoomScale="80" zoomScaleNormal="80" zoomScaleSheetLayoutView="80" workbookViewId="0"/>
  </sheetViews>
  <sheetFormatPr defaultColWidth="9" defaultRowHeight="14.25"/>
  <cols>
    <col min="1" max="1" width="7" style="2" bestFit="1" customWidth="1"/>
    <col min="2" max="2" width="6.75" style="2" bestFit="1" customWidth="1"/>
    <col min="3" max="3" width="9" style="2"/>
    <col min="4" max="4" width="13.125" style="2" customWidth="1"/>
    <col min="5" max="5" width="7.625" style="57" customWidth="1"/>
    <col min="6" max="6" width="1.625" style="2" customWidth="1"/>
    <col min="7" max="7" width="7.75" style="2" customWidth="1"/>
    <col min="8" max="8" width="1.75" style="2" customWidth="1"/>
    <col min="9" max="9" width="4.5" style="2" bestFit="1" customWidth="1"/>
    <col min="10" max="10" width="1.75" style="2" customWidth="1"/>
    <col min="11" max="11" width="4.75" style="2" customWidth="1"/>
    <col min="12" max="12" width="1.75" style="2" customWidth="1"/>
    <col min="13" max="13" width="7.75" style="2" customWidth="1"/>
    <col min="14" max="14" width="1.75" style="2" customWidth="1"/>
    <col min="15" max="15" width="7.75" style="2" customWidth="1"/>
    <col min="16" max="16" width="1.75" style="2" customWidth="1"/>
    <col min="17" max="17" width="7.75" style="2" customWidth="1"/>
    <col min="18" max="18" width="1.75" style="2" customWidth="1"/>
    <col min="19" max="19" width="7.75" style="2" customWidth="1"/>
    <col min="20" max="20" width="1.75" style="2" customWidth="1"/>
    <col min="21" max="21" width="7.75" style="2" customWidth="1"/>
    <col min="22" max="22" width="1.75" style="2" customWidth="1"/>
    <col min="23" max="23" width="8.875" style="9" bestFit="1" customWidth="1"/>
    <col min="24" max="24" width="1.75" style="2" customWidth="1"/>
    <col min="25" max="25" width="8.875" style="9" bestFit="1" customWidth="1"/>
    <col min="26" max="27" width="1.75" style="2" customWidth="1"/>
    <col min="28" max="28" width="5.75" style="2" bestFit="1" customWidth="1"/>
    <col min="29" max="29" width="10.625" style="2" bestFit="1" customWidth="1"/>
    <col min="30" max="38" width="9" style="2"/>
    <col min="39" max="39" width="10.5" style="2" bestFit="1" customWidth="1"/>
    <col min="40" max="16384" width="9" style="2"/>
  </cols>
  <sheetData>
    <row r="1" spans="1:39" ht="24.75" customHeight="1">
      <c r="C1" s="1" t="s">
        <v>53</v>
      </c>
      <c r="D1" s="196" t="s">
        <v>100</v>
      </c>
      <c r="E1" s="194"/>
      <c r="F1" s="194"/>
      <c r="G1" s="194"/>
      <c r="H1" s="194"/>
      <c r="I1" s="195"/>
      <c r="M1" s="2" t="s">
        <v>98</v>
      </c>
      <c r="N1" s="196" t="s">
        <v>101</v>
      </c>
      <c r="O1" s="194"/>
      <c r="P1" s="194"/>
      <c r="Q1" s="194"/>
      <c r="R1" s="194"/>
      <c r="S1" s="195"/>
      <c r="U1" s="38" t="s">
        <v>99</v>
      </c>
      <c r="V1" s="197" t="s">
        <v>103</v>
      </c>
      <c r="W1" s="198"/>
      <c r="X1" s="198"/>
      <c r="Y1" s="199"/>
    </row>
    <row r="2" spans="1:39" ht="13.5" customHeight="1"/>
    <row r="3" spans="1:39" ht="24.75" customHeight="1">
      <c r="C3" s="3" t="s">
        <v>89</v>
      </c>
      <c r="D3" s="193" t="s">
        <v>134</v>
      </c>
      <c r="E3" s="194"/>
      <c r="F3" s="194"/>
      <c r="G3" s="195"/>
    </row>
    <row r="4" spans="1:39" ht="24.75" customHeight="1">
      <c r="C4" s="3" t="s">
        <v>3</v>
      </c>
      <c r="D4" s="196" t="s">
        <v>0</v>
      </c>
      <c r="E4" s="194"/>
      <c r="F4" s="194"/>
      <c r="G4" s="195"/>
    </row>
    <row r="5" spans="1:39" ht="11.25" customHeight="1" thickBot="1">
      <c r="C5" s="3"/>
      <c r="D5" s="72"/>
      <c r="E5" s="61"/>
      <c r="F5" s="61"/>
      <c r="G5" s="61"/>
    </row>
    <row r="6" spans="1:39" ht="19.5" customHeight="1" thickTop="1" thickBot="1">
      <c r="C6" s="3"/>
      <c r="D6" s="201" t="s">
        <v>117</v>
      </c>
      <c r="E6" s="202"/>
      <c r="F6" s="202"/>
      <c r="G6" s="203"/>
      <c r="H6" s="201" t="s">
        <v>118</v>
      </c>
      <c r="I6" s="202"/>
      <c r="J6" s="202"/>
      <c r="K6" s="202"/>
      <c r="L6" s="202"/>
      <c r="M6" s="202"/>
      <c r="N6" s="202"/>
      <c r="O6" s="203"/>
    </row>
    <row r="7" spans="1:39" ht="20.25" customHeight="1" thickTop="1" thickBot="1">
      <c r="C7" s="50" t="s">
        <v>77</v>
      </c>
      <c r="D7" s="68" t="s">
        <v>137</v>
      </c>
      <c r="E7" s="153" t="s">
        <v>138</v>
      </c>
      <c r="F7" s="154"/>
      <c r="G7" s="68" t="s">
        <v>119</v>
      </c>
      <c r="H7" s="204" t="s">
        <v>139</v>
      </c>
      <c r="I7" s="109"/>
      <c r="J7" s="205"/>
      <c r="K7" s="204" t="s">
        <v>120</v>
      </c>
      <c r="L7" s="109"/>
      <c r="M7" s="109"/>
      <c r="N7" s="160" t="s">
        <v>121</v>
      </c>
      <c r="O7" s="200"/>
      <c r="W7" s="2"/>
      <c r="X7" s="9"/>
      <c r="Y7" s="2"/>
      <c r="Z7" s="9"/>
    </row>
    <row r="8" spans="1:39" ht="24.75" customHeight="1" thickTop="1" thickBot="1">
      <c r="A8" s="133" t="s">
        <v>167</v>
      </c>
      <c r="B8" s="134"/>
      <c r="C8" s="135"/>
      <c r="D8" s="70">
        <v>0.2</v>
      </c>
      <c r="E8" s="180">
        <v>0.8</v>
      </c>
      <c r="F8" s="181"/>
      <c r="G8" s="93">
        <v>1</v>
      </c>
      <c r="H8" s="116">
        <v>1.5</v>
      </c>
      <c r="I8" s="162"/>
      <c r="J8" s="117"/>
      <c r="K8" s="143">
        <v>1.3</v>
      </c>
      <c r="L8" s="163"/>
      <c r="M8" s="144"/>
      <c r="N8" s="143">
        <v>1.5</v>
      </c>
      <c r="O8" s="144"/>
      <c r="Q8" s="2" t="s">
        <v>274</v>
      </c>
    </row>
    <row r="9" spans="1:39" ht="15" thickTop="1"/>
    <row r="10" spans="1:39">
      <c r="C10" s="3" t="s">
        <v>4</v>
      </c>
      <c r="D10" s="99" t="s">
        <v>270</v>
      </c>
      <c r="E10" s="58"/>
    </row>
    <row r="11" spans="1:39">
      <c r="C11" s="3" t="s">
        <v>5</v>
      </c>
      <c r="D11" s="100" t="s">
        <v>271</v>
      </c>
      <c r="E11" s="58"/>
      <c r="W11" s="82"/>
    </row>
    <row r="12" spans="1:39">
      <c r="C12" s="3" t="s">
        <v>6</v>
      </c>
      <c r="D12" s="100" t="s">
        <v>272</v>
      </c>
      <c r="E12" s="58"/>
      <c r="W12" s="82" t="s">
        <v>155</v>
      </c>
    </row>
    <row r="13" spans="1:39">
      <c r="C13" s="3" t="s">
        <v>7</v>
      </c>
      <c r="D13" s="40" t="s">
        <v>241</v>
      </c>
      <c r="E13" s="58"/>
      <c r="W13" s="9" t="s">
        <v>154</v>
      </c>
      <c r="AB13" s="42" t="s">
        <v>104</v>
      </c>
      <c r="AE13" s="2" t="s">
        <v>47</v>
      </c>
    </row>
    <row r="14" spans="1:39" ht="6.75" customHeight="1">
      <c r="C14" s="4"/>
      <c r="D14" s="40"/>
      <c r="E14" s="58"/>
      <c r="AB14" s="42"/>
    </row>
    <row r="15" spans="1:39" ht="15">
      <c r="A15" s="2" t="s">
        <v>20</v>
      </c>
      <c r="B15" s="14" t="s">
        <v>34</v>
      </c>
      <c r="C15" s="3" t="s">
        <v>8</v>
      </c>
      <c r="D15" s="2" t="s">
        <v>1</v>
      </c>
      <c r="E15" s="57">
        <f>SUM(E18:E26)</f>
        <v>15.174999999999999</v>
      </c>
      <c r="M15" s="6" t="s">
        <v>12</v>
      </c>
      <c r="O15" s="6" t="s">
        <v>13</v>
      </c>
      <c r="Q15" s="6" t="s">
        <v>14</v>
      </c>
      <c r="S15" s="6" t="s">
        <v>15</v>
      </c>
      <c r="U15" s="6" t="s">
        <v>16</v>
      </c>
      <c r="W15" s="9" t="s">
        <v>17</v>
      </c>
      <c r="Y15" s="9" t="s">
        <v>18</v>
      </c>
      <c r="AB15" s="42" t="s">
        <v>105</v>
      </c>
      <c r="AC15" s="2" t="s">
        <v>19</v>
      </c>
      <c r="AE15" s="3" t="s">
        <v>4</v>
      </c>
      <c r="AF15" s="3" t="s">
        <v>5</v>
      </c>
      <c r="AG15" s="3" t="s">
        <v>6</v>
      </c>
      <c r="AH15" s="3" t="s">
        <v>7</v>
      </c>
      <c r="AI15" s="5" t="s">
        <v>2</v>
      </c>
      <c r="AJ15" s="12" t="s">
        <v>27</v>
      </c>
      <c r="AK15" s="12" t="s">
        <v>109</v>
      </c>
      <c r="AL15" s="2" t="s">
        <v>105</v>
      </c>
      <c r="AM15" s="2" t="s">
        <v>19</v>
      </c>
    </row>
    <row r="16" spans="1:39" ht="6.75" customHeight="1">
      <c r="C16" s="4"/>
      <c r="D16" s="40"/>
      <c r="E16" s="58"/>
    </row>
    <row r="17" spans="1:39" ht="15">
      <c r="D17" s="41" t="s">
        <v>107</v>
      </c>
      <c r="E17" s="59" t="s">
        <v>9</v>
      </c>
      <c r="G17" s="2" t="s">
        <v>21</v>
      </c>
      <c r="I17" s="2" t="s">
        <v>10</v>
      </c>
      <c r="K17" s="2" t="s">
        <v>11</v>
      </c>
    </row>
    <row r="18" spans="1:39">
      <c r="A18" s="2">
        <f>RANK(AC18,$AC$18:$AC$600,0)</f>
        <v>19</v>
      </c>
      <c r="B18" s="10">
        <v>1</v>
      </c>
      <c r="C18" s="4">
        <v>1</v>
      </c>
      <c r="D18" s="96" t="s">
        <v>165</v>
      </c>
      <c r="E18" s="60">
        <v>0.82499999999999996</v>
      </c>
      <c r="G18" s="75">
        <f>_xlfn.IFS(I18="　",E18,IF(COUNTIF(D18,"*Acro-Pair*")&gt;=1,AND(I18="*")),"0.100",I18="*",0.5,I18="**",0)</f>
        <v>0.82499999999999996</v>
      </c>
      <c r="I18" s="7" t="s">
        <v>22</v>
      </c>
      <c r="K18" s="56">
        <f>IF(D18="","",IF(COUNTIF(D18,"*HYB*")&gt;=1,$D$8,IF(AND(COUNTIF(D18,"*Acro*")&gt;=1),$E$8,IF(AND(COUNTIF(D18,"*TRE*")&gt;=1),$G$8))))</f>
        <v>0.2</v>
      </c>
      <c r="M18" s="13">
        <v>6.75</v>
      </c>
      <c r="O18" s="13">
        <v>7.25</v>
      </c>
      <c r="Q18" s="13">
        <v>5.75</v>
      </c>
      <c r="S18" s="13">
        <v>7</v>
      </c>
      <c r="U18" s="13">
        <v>6.75</v>
      </c>
      <c r="W18" s="9">
        <f>(SUM(M18:U18)-MAX(M18:U18)-MIN(M18:U18))/3</f>
        <v>6.833333333333333</v>
      </c>
      <c r="Y18" s="9">
        <f>IF(D18="","",ROUND(W18*G18*K18,4))</f>
        <v>1.1274999999999999</v>
      </c>
      <c r="AB18" s="55"/>
      <c r="AC18" s="64">
        <f>Y30+Y37-AB18-AB19</f>
        <v>109.7651</v>
      </c>
      <c r="AD18" s="9">
        <f>ROUND((M18+O18+Q18+U18)/4,4)</f>
        <v>6.625</v>
      </c>
      <c r="AE18" s="37" t="str">
        <f>D10</f>
        <v>世田谷アーティスティックスイミングクラブ</v>
      </c>
      <c r="AF18" s="37" t="str">
        <f>D11</f>
        <v>世田谷アーティスティックスイミングクラブA</v>
      </c>
      <c r="AG18" s="37" t="str">
        <f>D12</f>
        <v>加藤かみら/佐藤さゆり/高藤たみこ/内藤ななみ/花藤はるか/松藤まりな/山藤やくみ</v>
      </c>
      <c r="AH18" s="37" t="str">
        <f>D13</f>
        <v>来藤らんらん/若藤わかな</v>
      </c>
      <c r="AI18" s="66">
        <f>Y30</f>
        <v>15.490099999999996</v>
      </c>
      <c r="AJ18" s="39">
        <f>Y37</f>
        <v>94.275000000000006</v>
      </c>
      <c r="AK18" s="65">
        <f>AB18</f>
        <v>0</v>
      </c>
      <c r="AL18" s="65">
        <f>AB19</f>
        <v>0</v>
      </c>
      <c r="AM18" s="64">
        <f>AC18</f>
        <v>109.7651</v>
      </c>
    </row>
    <row r="19" spans="1:39">
      <c r="C19" s="4">
        <v>2</v>
      </c>
      <c r="D19" s="96" t="s">
        <v>279</v>
      </c>
      <c r="E19" s="60">
        <v>1.4</v>
      </c>
      <c r="G19" s="75">
        <f t="shared" ref="G19:G26" si="0">_xlfn.IFS(I19="　",E19,IF(COUNTIF(D19,"*Acro-Pair*")&gt;=1,AND(I19="*")),"0.100",I19="*",0.5,I19="**",0)</f>
        <v>0.5</v>
      </c>
      <c r="I19" s="7" t="s">
        <v>161</v>
      </c>
      <c r="K19" s="56">
        <f t="shared" ref="K19:K26" si="1">IF(D19="","",IF(COUNTIF(D19,"*HYB*")&gt;=1,$D$8,IF(AND(COUNTIF(D19,"*Acro*")&gt;=1),$E$8,IF(AND(COUNTIF(D19,"*TRE*")&gt;=1),$G$8))))</f>
        <v>0.8</v>
      </c>
      <c r="M19" s="13">
        <v>6.75</v>
      </c>
      <c r="O19" s="13">
        <v>6.75</v>
      </c>
      <c r="Q19" s="13">
        <v>6.5</v>
      </c>
      <c r="S19" s="13">
        <v>6.25</v>
      </c>
      <c r="U19" s="13">
        <v>7</v>
      </c>
      <c r="W19" s="9">
        <f t="shared" ref="W19:W26" si="2">(SUM(M19:U19)-MAX(M19:U19)-MIN(M19:U19))/3</f>
        <v>6.666666666666667</v>
      </c>
      <c r="Y19" s="9">
        <f t="shared" ref="Y19:Y26" si="3">IF(D19="","",ROUND(W19*G19*K19,4))</f>
        <v>2.6667000000000001</v>
      </c>
      <c r="AB19" s="55"/>
      <c r="AD19" s="9">
        <f t="shared" ref="AD19:AD26" si="4">ROUND((M19+O19+Q19+U19)/4,4)</f>
        <v>6.75</v>
      </c>
    </row>
    <row r="20" spans="1:39">
      <c r="C20" s="4">
        <v>3</v>
      </c>
      <c r="D20" s="96" t="s">
        <v>280</v>
      </c>
      <c r="E20" s="60">
        <v>2.1</v>
      </c>
      <c r="G20" s="75">
        <f t="shared" si="0"/>
        <v>0</v>
      </c>
      <c r="I20" s="7" t="s">
        <v>162</v>
      </c>
      <c r="K20" s="56">
        <f t="shared" si="1"/>
        <v>0.8</v>
      </c>
      <c r="M20" s="13">
        <v>7.75</v>
      </c>
      <c r="O20" s="13">
        <v>7.5</v>
      </c>
      <c r="Q20" s="13">
        <v>7</v>
      </c>
      <c r="S20" s="13">
        <v>7.5</v>
      </c>
      <c r="U20" s="13">
        <v>7</v>
      </c>
      <c r="W20" s="9">
        <f t="shared" si="2"/>
        <v>7.333333333333333</v>
      </c>
      <c r="Y20" s="9">
        <f t="shared" si="3"/>
        <v>0</v>
      </c>
      <c r="AD20" s="9">
        <f t="shared" si="4"/>
        <v>7.3125</v>
      </c>
    </row>
    <row r="21" spans="1:39">
      <c r="C21" s="4">
        <v>4</v>
      </c>
      <c r="D21" s="96" t="s">
        <v>281</v>
      </c>
      <c r="E21" s="60">
        <v>0.8</v>
      </c>
      <c r="G21" s="75">
        <f t="shared" si="0"/>
        <v>0.8</v>
      </c>
      <c r="I21" s="7" t="s">
        <v>22</v>
      </c>
      <c r="K21" s="56">
        <f t="shared" si="1"/>
        <v>0.8</v>
      </c>
      <c r="M21" s="13">
        <v>6.75</v>
      </c>
      <c r="O21" s="13">
        <v>6.5</v>
      </c>
      <c r="Q21" s="13">
        <v>6.75</v>
      </c>
      <c r="S21" s="13">
        <v>6.5</v>
      </c>
      <c r="U21" s="13">
        <v>7</v>
      </c>
      <c r="W21" s="9">
        <f t="shared" si="2"/>
        <v>6.666666666666667</v>
      </c>
      <c r="Y21" s="9">
        <f t="shared" si="3"/>
        <v>4.2667000000000002</v>
      </c>
      <c r="AD21" s="9">
        <f t="shared" si="4"/>
        <v>6.75</v>
      </c>
    </row>
    <row r="22" spans="1:39">
      <c r="C22" s="4">
        <v>5</v>
      </c>
      <c r="D22" s="96" t="s">
        <v>282</v>
      </c>
      <c r="E22" s="60">
        <v>2.1</v>
      </c>
      <c r="G22" s="75">
        <f t="shared" si="0"/>
        <v>2.1</v>
      </c>
      <c r="I22" s="7" t="s">
        <v>22</v>
      </c>
      <c r="K22" s="56">
        <f t="shared" si="1"/>
        <v>0.8</v>
      </c>
      <c r="M22" s="13">
        <v>6.5</v>
      </c>
      <c r="O22" s="13">
        <v>6.5</v>
      </c>
      <c r="Q22" s="13">
        <v>6.5</v>
      </c>
      <c r="S22" s="13">
        <v>6</v>
      </c>
      <c r="U22" s="13">
        <v>6.75</v>
      </c>
      <c r="W22" s="9">
        <f t="shared" si="2"/>
        <v>6.5</v>
      </c>
      <c r="Y22" s="9">
        <f t="shared" si="3"/>
        <v>10.92</v>
      </c>
      <c r="AD22" s="9">
        <f t="shared" si="4"/>
        <v>6.5625</v>
      </c>
    </row>
    <row r="23" spans="1:39">
      <c r="C23" s="4">
        <v>6</v>
      </c>
      <c r="D23" s="96" t="s">
        <v>283</v>
      </c>
      <c r="E23" s="60">
        <v>2.7</v>
      </c>
      <c r="G23" s="75" t="str">
        <f t="shared" si="0"/>
        <v>0.100</v>
      </c>
      <c r="I23" s="7" t="s">
        <v>161</v>
      </c>
      <c r="K23" s="56">
        <f t="shared" si="1"/>
        <v>0.8</v>
      </c>
      <c r="M23" s="13">
        <v>8.5</v>
      </c>
      <c r="O23" s="13">
        <v>8.5</v>
      </c>
      <c r="Q23" s="13">
        <v>8</v>
      </c>
      <c r="S23" s="13">
        <v>7.5</v>
      </c>
      <c r="U23" s="13">
        <v>8.5</v>
      </c>
      <c r="W23" s="9">
        <f t="shared" si="2"/>
        <v>8.3333333333333339</v>
      </c>
      <c r="Y23" s="9">
        <f t="shared" si="3"/>
        <v>0.66669999999999996</v>
      </c>
      <c r="AD23" s="9">
        <f t="shared" si="4"/>
        <v>8.375</v>
      </c>
    </row>
    <row r="24" spans="1:39">
      <c r="C24" s="4">
        <v>7</v>
      </c>
      <c r="D24" s="96" t="s">
        <v>283</v>
      </c>
      <c r="E24" s="60">
        <v>1.2</v>
      </c>
      <c r="G24" s="75" t="str">
        <f t="shared" si="0"/>
        <v>0.100</v>
      </c>
      <c r="I24" s="7" t="s">
        <v>161</v>
      </c>
      <c r="K24" s="56">
        <f t="shared" si="1"/>
        <v>0.8</v>
      </c>
      <c r="M24" s="13">
        <v>6.25</v>
      </c>
      <c r="O24" s="13">
        <v>6</v>
      </c>
      <c r="Q24" s="13">
        <v>6.25</v>
      </c>
      <c r="S24" s="13">
        <v>6.25</v>
      </c>
      <c r="U24" s="13">
        <v>6.75</v>
      </c>
      <c r="W24" s="9">
        <f t="shared" si="2"/>
        <v>6.25</v>
      </c>
      <c r="Y24" s="9">
        <f t="shared" si="3"/>
        <v>0.5</v>
      </c>
      <c r="AD24" s="9">
        <f t="shared" si="4"/>
        <v>6.3125</v>
      </c>
    </row>
    <row r="25" spans="1:39">
      <c r="C25" s="4">
        <v>8</v>
      </c>
      <c r="D25" s="96" t="s">
        <v>165</v>
      </c>
      <c r="E25" s="60">
        <v>2.7</v>
      </c>
      <c r="G25" s="75">
        <f t="shared" si="0"/>
        <v>2.7</v>
      </c>
      <c r="I25" s="7" t="s">
        <v>22</v>
      </c>
      <c r="K25" s="56">
        <f t="shared" si="1"/>
        <v>0.2</v>
      </c>
      <c r="M25" s="13">
        <v>6.5</v>
      </c>
      <c r="O25" s="13">
        <v>6.5</v>
      </c>
      <c r="Q25" s="13">
        <v>6.5</v>
      </c>
      <c r="S25" s="13">
        <v>6</v>
      </c>
      <c r="U25" s="13">
        <v>6.75</v>
      </c>
      <c r="W25" s="9">
        <f t="shared" si="2"/>
        <v>6.5</v>
      </c>
      <c r="Y25" s="9">
        <f t="shared" si="3"/>
        <v>3.51</v>
      </c>
      <c r="AD25" s="9">
        <f t="shared" si="4"/>
        <v>6.5625</v>
      </c>
    </row>
    <row r="26" spans="1:39">
      <c r="C26" s="4">
        <v>9</v>
      </c>
      <c r="D26" s="96" t="s">
        <v>165</v>
      </c>
      <c r="E26" s="60">
        <v>1.35</v>
      </c>
      <c r="G26" s="75">
        <f t="shared" si="0"/>
        <v>1.35</v>
      </c>
      <c r="I26" s="7" t="s">
        <v>22</v>
      </c>
      <c r="K26" s="56">
        <f t="shared" si="1"/>
        <v>0.2</v>
      </c>
      <c r="M26" s="13">
        <v>6.75</v>
      </c>
      <c r="O26" s="13">
        <v>6.25</v>
      </c>
      <c r="Q26" s="13">
        <v>6.5</v>
      </c>
      <c r="S26" s="13">
        <v>6.25</v>
      </c>
      <c r="U26" s="13">
        <v>6.5</v>
      </c>
      <c r="W26" s="9">
        <f t="shared" si="2"/>
        <v>6.416666666666667</v>
      </c>
      <c r="Y26" s="9">
        <f t="shared" si="3"/>
        <v>1.7324999999999999</v>
      </c>
      <c r="AD26" s="9">
        <f t="shared" si="4"/>
        <v>6.5</v>
      </c>
    </row>
    <row r="27" spans="1:39">
      <c r="U27" s="11" t="s">
        <v>23</v>
      </c>
      <c r="Y27" s="9">
        <f>SUM(Y18:Y26)</f>
        <v>25.390099999999997</v>
      </c>
    </row>
    <row r="28" spans="1:39">
      <c r="C28" s="8" t="s">
        <v>163</v>
      </c>
      <c r="U28" s="11" t="s">
        <v>24</v>
      </c>
      <c r="Y28" s="55">
        <v>9.9</v>
      </c>
    </row>
    <row r="29" spans="1:39">
      <c r="U29" s="11" t="s">
        <v>25</v>
      </c>
      <c r="Y29" s="13"/>
    </row>
    <row r="30" spans="1:39">
      <c r="U30" s="11" t="s">
        <v>26</v>
      </c>
      <c r="Y30" s="9">
        <f>Y27-Y28-Y29</f>
        <v>15.490099999999996</v>
      </c>
    </row>
    <row r="31" spans="1:39" ht="15">
      <c r="D31" s="12" t="s">
        <v>27</v>
      </c>
      <c r="U31" s="11"/>
    </row>
    <row r="32" spans="1:39">
      <c r="D32" s="2" t="s">
        <v>28</v>
      </c>
      <c r="K32" s="62">
        <f>$H$8</f>
        <v>1.5</v>
      </c>
      <c r="M32" s="13">
        <v>7.5</v>
      </c>
      <c r="O32" s="13">
        <v>7.5</v>
      </c>
      <c r="Q32" s="13">
        <v>7.5</v>
      </c>
      <c r="S32" s="13">
        <v>7.25</v>
      </c>
      <c r="U32" s="13">
        <v>7.25</v>
      </c>
      <c r="Y32" s="9">
        <f>ROUND((SUM(M32:U32)-MAX(M32:U32)-MIN(M32:U32))*K32,4)</f>
        <v>33.375</v>
      </c>
    </row>
    <row r="33" spans="1:39">
      <c r="D33" s="2" t="s">
        <v>29</v>
      </c>
      <c r="K33" s="62">
        <f>$K$8</f>
        <v>1.3</v>
      </c>
      <c r="M33" s="13">
        <v>7.25</v>
      </c>
      <c r="O33" s="13">
        <v>7.25</v>
      </c>
      <c r="Q33" s="13">
        <v>7.25</v>
      </c>
      <c r="S33" s="13">
        <v>7</v>
      </c>
      <c r="U33" s="13">
        <v>7.25</v>
      </c>
      <c r="Y33" s="9">
        <f>ROUND((SUM(M33:U33)-MAX(M33:U33)-MIN(M33:U33))*K33,4)</f>
        <v>28.274999999999999</v>
      </c>
    </row>
    <row r="34" spans="1:39">
      <c r="D34" s="2" t="s">
        <v>30</v>
      </c>
      <c r="K34" s="62">
        <f>$N$8</f>
        <v>1.5</v>
      </c>
      <c r="M34" s="13">
        <v>7.25</v>
      </c>
      <c r="O34" s="13">
        <v>7.25</v>
      </c>
      <c r="Q34" s="13">
        <v>7</v>
      </c>
      <c r="S34" s="13">
        <v>7.25</v>
      </c>
      <c r="U34" s="13">
        <v>7.25</v>
      </c>
      <c r="Y34" s="9">
        <f>ROUND((SUM(M34:U34)-MAX(M34:U34)-MIN(M34:U34))*K34,4)</f>
        <v>32.625</v>
      </c>
    </row>
    <row r="35" spans="1:39">
      <c r="U35" s="11" t="s">
        <v>31</v>
      </c>
      <c r="Y35" s="9">
        <f>SUM(Y32:Y34)</f>
        <v>94.275000000000006</v>
      </c>
    </row>
    <row r="36" spans="1:39">
      <c r="U36" s="11" t="s">
        <v>32</v>
      </c>
      <c r="Y36" s="13"/>
    </row>
    <row r="37" spans="1:39">
      <c r="U37" s="11" t="s">
        <v>33</v>
      </c>
      <c r="Y37" s="9">
        <f>Y35-Y36</f>
        <v>94.275000000000006</v>
      </c>
    </row>
    <row r="39" spans="1:39">
      <c r="C39" s="3" t="s">
        <v>4</v>
      </c>
      <c r="D39" s="99" t="s">
        <v>267</v>
      </c>
      <c r="E39" s="58"/>
    </row>
    <row r="40" spans="1:39">
      <c r="C40" s="3" t="s">
        <v>5</v>
      </c>
      <c r="D40" s="100" t="s">
        <v>268</v>
      </c>
      <c r="E40" s="58"/>
    </row>
    <row r="41" spans="1:39">
      <c r="C41" s="3" t="s">
        <v>6</v>
      </c>
      <c r="D41" s="100" t="s">
        <v>269</v>
      </c>
      <c r="E41" s="58"/>
    </row>
    <row r="42" spans="1:39">
      <c r="C42" s="3" t="s">
        <v>7</v>
      </c>
      <c r="D42" s="40" t="s">
        <v>241</v>
      </c>
      <c r="E42" s="58"/>
      <c r="AB42" s="42" t="s">
        <v>104</v>
      </c>
      <c r="AE42" s="2" t="s">
        <v>47</v>
      </c>
    </row>
    <row r="43" spans="1:39" ht="6.75" customHeight="1">
      <c r="C43" s="4"/>
      <c r="D43" s="40"/>
      <c r="E43" s="58"/>
      <c r="AB43" s="42"/>
    </row>
    <row r="44" spans="1:39" ht="15">
      <c r="A44" s="2" t="s">
        <v>20</v>
      </c>
      <c r="B44" s="14" t="s">
        <v>34</v>
      </c>
      <c r="C44" s="3" t="s">
        <v>8</v>
      </c>
      <c r="D44" s="2" t="s">
        <v>1</v>
      </c>
      <c r="E44" s="57">
        <f>SUM(E47:E55)</f>
        <v>18.799999999999997</v>
      </c>
      <c r="M44" s="6" t="s">
        <v>12</v>
      </c>
      <c r="O44" s="6" t="s">
        <v>13</v>
      </c>
      <c r="Q44" s="6" t="s">
        <v>14</v>
      </c>
      <c r="S44" s="6" t="s">
        <v>15</v>
      </c>
      <c r="U44" s="6" t="s">
        <v>16</v>
      </c>
      <c r="W44" s="9" t="s">
        <v>17</v>
      </c>
      <c r="Y44" s="9" t="s">
        <v>18</v>
      </c>
      <c r="AB44" s="42" t="s">
        <v>105</v>
      </c>
      <c r="AC44" s="2" t="s">
        <v>19</v>
      </c>
      <c r="AE44" s="3" t="s">
        <v>4</v>
      </c>
      <c r="AF44" s="3" t="s">
        <v>5</v>
      </c>
      <c r="AG44" s="3" t="s">
        <v>6</v>
      </c>
      <c r="AH44" s="3" t="s">
        <v>7</v>
      </c>
      <c r="AI44" s="5" t="s">
        <v>2</v>
      </c>
      <c r="AJ44" s="12" t="s">
        <v>27</v>
      </c>
      <c r="AK44" s="12" t="s">
        <v>109</v>
      </c>
      <c r="AL44" s="2" t="s">
        <v>105</v>
      </c>
      <c r="AM44" s="2" t="s">
        <v>19</v>
      </c>
    </row>
    <row r="45" spans="1:39" ht="6.75" customHeight="1">
      <c r="C45" s="4"/>
      <c r="D45" s="40"/>
      <c r="E45" s="58"/>
    </row>
    <row r="46" spans="1:39" ht="15">
      <c r="D46" s="41" t="s">
        <v>107</v>
      </c>
      <c r="E46" s="59" t="s">
        <v>9</v>
      </c>
      <c r="G46" s="2" t="s">
        <v>21</v>
      </c>
      <c r="I46" s="2" t="s">
        <v>10</v>
      </c>
      <c r="K46" s="2" t="s">
        <v>11</v>
      </c>
    </row>
    <row r="47" spans="1:39">
      <c r="A47" s="2">
        <f>RANK(AC47,$AC$18:$AC$600,0)</f>
        <v>17</v>
      </c>
      <c r="B47" s="10">
        <v>2</v>
      </c>
      <c r="C47" s="4">
        <v>1</v>
      </c>
      <c r="D47" s="96" t="s">
        <v>164</v>
      </c>
      <c r="E47" s="98">
        <v>0.75</v>
      </c>
      <c r="G47" s="75">
        <f>_xlfn.IFS(I47="　",E47,IF(COUNTIF(D47,"*Acro-Pair*")&gt;=1,AND(I47="*")),"0.100",I47="*",0.5,I47="**",0)</f>
        <v>0.75</v>
      </c>
      <c r="I47" s="7" t="s">
        <v>22</v>
      </c>
      <c r="K47" s="56">
        <f>IF(D47="","",IF(COUNTIF(D47,"*HYB*")&gt;=1,$D$8,IF(AND(COUNTIF(D47,"*Acro*")&gt;=1),$E$8,IF(AND(COUNTIF(D47,"*TRE*")&gt;=1),$G$8))))</f>
        <v>0.2</v>
      </c>
      <c r="M47" s="13">
        <v>7.75</v>
      </c>
      <c r="O47" s="13">
        <v>7</v>
      </c>
      <c r="Q47" s="13">
        <v>7.25</v>
      </c>
      <c r="S47" s="13">
        <v>8</v>
      </c>
      <c r="U47" s="13">
        <v>8.5</v>
      </c>
      <c r="W47" s="9">
        <f>(SUM(M47:U47)-MAX(M47:U47)-MIN(M47:U47))/3</f>
        <v>7.666666666666667</v>
      </c>
      <c r="Y47" s="9">
        <f>IF(D47="","",ROUND(W47*G47*K47,4))</f>
        <v>1.1499999999999999</v>
      </c>
      <c r="AB47" s="55"/>
      <c r="AC47" s="64">
        <f>Y59+Y66-AB47-AB48</f>
        <v>129.31659999999999</v>
      </c>
      <c r="AE47" s="37" t="str">
        <f>D39</f>
        <v>神奈川アーティスティックスイミングクラブ</v>
      </c>
      <c r="AF47" s="37" t="str">
        <f>D40</f>
        <v>神奈川アーティスティックスイミングクラブA</v>
      </c>
      <c r="AG47" s="37" t="str">
        <f>D41</f>
        <v>佐藤さゆり/高藤たみこ/内藤ななみ/花藤はるか/松藤まりな/山藤やくみ</v>
      </c>
      <c r="AH47" s="37" t="str">
        <f>D42</f>
        <v>来藤らんらん/若藤わかな</v>
      </c>
      <c r="AI47" s="66">
        <f>Y59</f>
        <v>28.591599999999996</v>
      </c>
      <c r="AJ47" s="39">
        <f>Y66</f>
        <v>100.72499999999999</v>
      </c>
      <c r="AK47" s="65">
        <f>AB47</f>
        <v>0</v>
      </c>
      <c r="AL47" s="65">
        <f>AB48</f>
        <v>0</v>
      </c>
      <c r="AM47" s="64">
        <f>AC47</f>
        <v>129.31659999999999</v>
      </c>
    </row>
    <row r="48" spans="1:39">
      <c r="C48" s="4">
        <v>2</v>
      </c>
      <c r="D48" s="96" t="s">
        <v>164</v>
      </c>
      <c r="E48" s="98">
        <v>5.95</v>
      </c>
      <c r="G48" s="75">
        <f t="shared" ref="G48:G55" si="5">_xlfn.IFS(I48="　",E48,IF(COUNTIF(D48,"*Acro-Pair*")&gt;=1,AND(I48="*")),"0.100",I48="*",0.5,I48="**",0)</f>
        <v>5.95</v>
      </c>
      <c r="I48" s="7" t="s">
        <v>22</v>
      </c>
      <c r="K48" s="56">
        <f t="shared" ref="K48:K55" si="6">IF(D48="","",IF(COUNTIF(D48,"*HYB*")&gt;=1,$D$8,IF(AND(COUNTIF(D48,"*Acro*")&gt;=1),$E$8,IF(AND(COUNTIF(D48,"*TRE*")&gt;=1),$G$8))))</f>
        <v>0.2</v>
      </c>
      <c r="M48" s="13">
        <v>7.5</v>
      </c>
      <c r="O48" s="13">
        <v>7</v>
      </c>
      <c r="Q48" s="13">
        <v>7.25</v>
      </c>
      <c r="S48" s="13">
        <v>7</v>
      </c>
      <c r="U48" s="13">
        <v>7.25</v>
      </c>
      <c r="W48" s="9">
        <f t="shared" ref="W48:W55" si="7">(SUM(M48:U48)-MAX(M48:U48)-MIN(M48:U48))/3</f>
        <v>7.166666666666667</v>
      </c>
      <c r="Y48" s="9">
        <f t="shared" ref="Y48:Y55" si="8">IF(D48="","",ROUND(W48*G48*K48,4))</f>
        <v>8.5282999999999998</v>
      </c>
      <c r="AB48" s="55"/>
    </row>
    <row r="49" spans="3:25">
      <c r="C49" s="4">
        <v>3</v>
      </c>
      <c r="D49" s="96" t="s">
        <v>210</v>
      </c>
      <c r="E49" s="98">
        <v>2.1</v>
      </c>
      <c r="G49" s="75">
        <f t="shared" si="5"/>
        <v>0</v>
      </c>
      <c r="I49" s="7" t="s">
        <v>162</v>
      </c>
      <c r="K49" s="56">
        <f t="shared" si="6"/>
        <v>1</v>
      </c>
      <c r="M49" s="13">
        <v>7</v>
      </c>
      <c r="O49" s="13">
        <v>6.5</v>
      </c>
      <c r="Q49" s="13">
        <v>6.5</v>
      </c>
      <c r="S49" s="13">
        <v>7</v>
      </c>
      <c r="U49" s="13">
        <v>6.75</v>
      </c>
      <c r="W49" s="9">
        <f t="shared" si="7"/>
        <v>6.75</v>
      </c>
      <c r="Y49" s="9">
        <f t="shared" si="8"/>
        <v>0</v>
      </c>
    </row>
    <row r="50" spans="3:25">
      <c r="C50" s="4">
        <v>4</v>
      </c>
      <c r="D50" s="96" t="s">
        <v>207</v>
      </c>
      <c r="E50" s="98">
        <v>0.6</v>
      </c>
      <c r="G50" s="75">
        <f t="shared" si="5"/>
        <v>0.5</v>
      </c>
      <c r="I50" s="7" t="s">
        <v>161</v>
      </c>
      <c r="K50" s="56">
        <f t="shared" si="6"/>
        <v>0.8</v>
      </c>
      <c r="M50" s="13">
        <v>7.75</v>
      </c>
      <c r="O50" s="13">
        <v>6.75</v>
      </c>
      <c r="Q50" s="13">
        <v>7</v>
      </c>
      <c r="S50" s="13">
        <v>7.25</v>
      </c>
      <c r="U50" s="13">
        <v>7</v>
      </c>
      <c r="W50" s="9">
        <f t="shared" si="7"/>
        <v>7.083333333333333</v>
      </c>
      <c r="Y50" s="9">
        <f t="shared" si="8"/>
        <v>2.8332999999999999</v>
      </c>
    </row>
    <row r="51" spans="3:25">
      <c r="C51" s="4">
        <v>5</v>
      </c>
      <c r="D51" s="96" t="s">
        <v>209</v>
      </c>
      <c r="E51" s="98">
        <v>2.1</v>
      </c>
      <c r="G51" s="75">
        <f t="shared" si="5"/>
        <v>2.1</v>
      </c>
      <c r="I51" s="7" t="s">
        <v>22</v>
      </c>
      <c r="K51" s="56">
        <f t="shared" si="6"/>
        <v>1</v>
      </c>
      <c r="M51" s="13">
        <v>7</v>
      </c>
      <c r="O51" s="13">
        <v>7.5</v>
      </c>
      <c r="Q51" s="13">
        <v>6.75</v>
      </c>
      <c r="S51" s="13">
        <v>6.75</v>
      </c>
      <c r="U51" s="13">
        <v>7.25</v>
      </c>
      <c r="W51" s="9">
        <f t="shared" si="7"/>
        <v>7</v>
      </c>
      <c r="Y51" s="9">
        <f t="shared" si="8"/>
        <v>14.7</v>
      </c>
    </row>
    <row r="52" spans="3:25">
      <c r="C52" s="4">
        <v>6</v>
      </c>
      <c r="D52" s="96" t="s">
        <v>211</v>
      </c>
      <c r="E52" s="98">
        <v>2.7</v>
      </c>
      <c r="G52" s="75">
        <f t="shared" si="5"/>
        <v>0.5</v>
      </c>
      <c r="I52" s="7" t="s">
        <v>161</v>
      </c>
      <c r="K52" s="56">
        <f t="shared" si="6"/>
        <v>1</v>
      </c>
      <c r="M52" s="13">
        <v>7.25</v>
      </c>
      <c r="O52" s="13">
        <v>7.25</v>
      </c>
      <c r="Q52" s="13">
        <v>7.25</v>
      </c>
      <c r="S52" s="13">
        <v>7.25</v>
      </c>
      <c r="U52" s="13">
        <v>7</v>
      </c>
      <c r="W52" s="9">
        <f t="shared" si="7"/>
        <v>7.25</v>
      </c>
      <c r="Y52" s="9">
        <f t="shared" si="8"/>
        <v>3.625</v>
      </c>
    </row>
    <row r="53" spans="3:25">
      <c r="C53" s="4">
        <v>7</v>
      </c>
      <c r="D53" s="96" t="s">
        <v>283</v>
      </c>
      <c r="E53" s="98">
        <v>1.2</v>
      </c>
      <c r="G53" s="75" t="str">
        <f t="shared" si="5"/>
        <v>0.100</v>
      </c>
      <c r="I53" s="7" t="s">
        <v>161</v>
      </c>
      <c r="K53" s="56">
        <f t="shared" si="6"/>
        <v>0.8</v>
      </c>
      <c r="M53" s="13">
        <v>7.25</v>
      </c>
      <c r="O53" s="13">
        <v>6.75</v>
      </c>
      <c r="Q53" s="13">
        <v>7</v>
      </c>
      <c r="S53" s="13">
        <v>7.25</v>
      </c>
      <c r="U53" s="13">
        <v>7.25</v>
      </c>
      <c r="W53" s="9">
        <f t="shared" si="7"/>
        <v>7.166666666666667</v>
      </c>
      <c r="Y53" s="9">
        <f t="shared" si="8"/>
        <v>0.57330000000000003</v>
      </c>
    </row>
    <row r="54" spans="3:25">
      <c r="C54" s="4">
        <v>8</v>
      </c>
      <c r="D54" s="96" t="s">
        <v>164</v>
      </c>
      <c r="E54" s="98">
        <v>2.7</v>
      </c>
      <c r="G54" s="75">
        <f t="shared" si="5"/>
        <v>2.7</v>
      </c>
      <c r="I54" s="7" t="s">
        <v>22</v>
      </c>
      <c r="K54" s="56">
        <f t="shared" si="6"/>
        <v>0.2</v>
      </c>
      <c r="M54" s="13">
        <v>7.5</v>
      </c>
      <c r="O54" s="13">
        <v>6.5</v>
      </c>
      <c r="Q54" s="13">
        <v>6.5</v>
      </c>
      <c r="S54" s="13">
        <v>6.75</v>
      </c>
      <c r="U54" s="13">
        <v>7.25</v>
      </c>
      <c r="W54" s="9">
        <f t="shared" si="7"/>
        <v>6.833333333333333</v>
      </c>
      <c r="Y54" s="9">
        <f t="shared" si="8"/>
        <v>3.69</v>
      </c>
    </row>
    <row r="55" spans="3:25">
      <c r="C55" s="4">
        <v>9</v>
      </c>
      <c r="D55" s="96" t="s">
        <v>164</v>
      </c>
      <c r="E55" s="98">
        <v>0.7</v>
      </c>
      <c r="G55" s="75">
        <f t="shared" si="5"/>
        <v>0.5</v>
      </c>
      <c r="I55" s="7" t="s">
        <v>161</v>
      </c>
      <c r="K55" s="56">
        <f t="shared" si="6"/>
        <v>0.2</v>
      </c>
      <c r="M55" s="13">
        <v>7.75</v>
      </c>
      <c r="O55" s="13">
        <v>6.5</v>
      </c>
      <c r="Q55" s="13">
        <v>7</v>
      </c>
      <c r="S55" s="13">
        <v>7</v>
      </c>
      <c r="U55" s="13">
        <v>6.75</v>
      </c>
      <c r="W55" s="9">
        <f t="shared" si="7"/>
        <v>6.916666666666667</v>
      </c>
      <c r="Y55" s="9">
        <f t="shared" si="8"/>
        <v>0.69169999999999998</v>
      </c>
    </row>
    <row r="56" spans="3:25">
      <c r="U56" s="11" t="s">
        <v>23</v>
      </c>
      <c r="Y56" s="9">
        <f>SUM(Y47:Y55)</f>
        <v>35.791599999999995</v>
      </c>
    </row>
    <row r="57" spans="3:25">
      <c r="C57" s="8" t="s">
        <v>163</v>
      </c>
      <c r="U57" s="11" t="s">
        <v>24</v>
      </c>
      <c r="Y57" s="27">
        <v>7.2</v>
      </c>
    </row>
    <row r="58" spans="3:25">
      <c r="U58" s="11" t="s">
        <v>25</v>
      </c>
      <c r="Y58" s="27"/>
    </row>
    <row r="59" spans="3:25">
      <c r="U59" s="11" t="s">
        <v>26</v>
      </c>
      <c r="Y59" s="9">
        <f>Y56-Y57-Y58</f>
        <v>28.591599999999996</v>
      </c>
    </row>
    <row r="60" spans="3:25" ht="15">
      <c r="D60" s="12" t="s">
        <v>27</v>
      </c>
      <c r="U60" s="11"/>
    </row>
    <row r="61" spans="3:25">
      <c r="D61" s="2" t="s">
        <v>28</v>
      </c>
      <c r="K61" s="62">
        <f>$H$8</f>
        <v>1.5</v>
      </c>
      <c r="M61" s="13">
        <v>7.5</v>
      </c>
      <c r="O61" s="13">
        <v>8</v>
      </c>
      <c r="Q61" s="13">
        <v>7.75</v>
      </c>
      <c r="S61" s="13">
        <v>7.75</v>
      </c>
      <c r="U61" s="13">
        <v>8</v>
      </c>
      <c r="Y61" s="9">
        <f>ROUND((SUM(M61:U61)-MAX(M61:U61)-MIN(M61:U61))*K61,4)</f>
        <v>35.25</v>
      </c>
    </row>
    <row r="62" spans="3:25">
      <c r="D62" s="2" t="s">
        <v>29</v>
      </c>
      <c r="K62" s="62">
        <f>$K$8</f>
        <v>1.3</v>
      </c>
      <c r="M62" s="13">
        <v>7.5</v>
      </c>
      <c r="O62" s="13">
        <v>7.75</v>
      </c>
      <c r="Q62" s="13">
        <v>7.75</v>
      </c>
      <c r="S62" s="13">
        <v>7.75</v>
      </c>
      <c r="U62" s="13">
        <v>7.75</v>
      </c>
      <c r="Y62" s="9">
        <f>ROUND((SUM(M62:U62)-MAX(M62:U62)-MIN(M62:U62))*K62,4)</f>
        <v>30.225000000000001</v>
      </c>
    </row>
    <row r="63" spans="3:25">
      <c r="D63" s="2" t="s">
        <v>30</v>
      </c>
      <c r="K63" s="62">
        <f>$N$8</f>
        <v>1.5</v>
      </c>
      <c r="M63" s="13">
        <v>7.75</v>
      </c>
      <c r="O63" s="13">
        <v>8</v>
      </c>
      <c r="Q63" s="13">
        <v>7.75</v>
      </c>
      <c r="S63" s="13">
        <v>7.5</v>
      </c>
      <c r="U63" s="13">
        <v>8</v>
      </c>
      <c r="Y63" s="9">
        <f>ROUND((SUM(M63:U63)-MAX(M63:U63)-MIN(M63:U63))*K63,4)</f>
        <v>35.25</v>
      </c>
    </row>
    <row r="64" spans="3:25">
      <c r="U64" s="11" t="s">
        <v>31</v>
      </c>
      <c r="Y64" s="9">
        <f>SUM(Y61:Y63)</f>
        <v>100.72499999999999</v>
      </c>
    </row>
    <row r="65" spans="1:39">
      <c r="U65" s="11" t="s">
        <v>32</v>
      </c>
      <c r="Y65" s="27"/>
    </row>
    <row r="66" spans="1:39">
      <c r="U66" s="11" t="s">
        <v>33</v>
      </c>
      <c r="Y66" s="9">
        <f>Y64-Y65</f>
        <v>100.72499999999999</v>
      </c>
    </row>
    <row r="68" spans="1:39">
      <c r="C68" s="3" t="s">
        <v>4</v>
      </c>
      <c r="D68" s="99" t="s">
        <v>264</v>
      </c>
      <c r="E68" s="58"/>
    </row>
    <row r="69" spans="1:39">
      <c r="C69" s="3" t="s">
        <v>5</v>
      </c>
      <c r="D69" s="100" t="s">
        <v>265</v>
      </c>
      <c r="E69" s="58"/>
    </row>
    <row r="70" spans="1:39">
      <c r="C70" s="3" t="s">
        <v>6</v>
      </c>
      <c r="D70" s="100" t="s">
        <v>266</v>
      </c>
      <c r="E70" s="58"/>
    </row>
    <row r="71" spans="1:39">
      <c r="C71" s="3" t="s">
        <v>7</v>
      </c>
      <c r="D71" s="40" t="s">
        <v>241</v>
      </c>
      <c r="E71" s="58"/>
      <c r="AB71" s="42" t="s">
        <v>104</v>
      </c>
      <c r="AE71" s="2" t="s">
        <v>47</v>
      </c>
    </row>
    <row r="72" spans="1:39" ht="6.75" customHeight="1">
      <c r="C72" s="4"/>
      <c r="D72" s="40"/>
      <c r="E72" s="58"/>
      <c r="AB72" s="42"/>
    </row>
    <row r="73" spans="1:39" ht="15">
      <c r="A73" s="2" t="s">
        <v>20</v>
      </c>
      <c r="B73" s="14" t="s">
        <v>34</v>
      </c>
      <c r="C73" s="3" t="s">
        <v>8</v>
      </c>
      <c r="D73" s="2" t="s">
        <v>1</v>
      </c>
      <c r="E73" s="57">
        <f>SUM(E76:E84)</f>
        <v>20.5</v>
      </c>
      <c r="M73" s="6" t="s">
        <v>12</v>
      </c>
      <c r="O73" s="6" t="s">
        <v>13</v>
      </c>
      <c r="Q73" s="6" t="s">
        <v>14</v>
      </c>
      <c r="S73" s="6" t="s">
        <v>15</v>
      </c>
      <c r="U73" s="6" t="s">
        <v>16</v>
      </c>
      <c r="W73" s="9" t="s">
        <v>17</v>
      </c>
      <c r="Y73" s="9" t="s">
        <v>18</v>
      </c>
      <c r="AB73" s="42" t="s">
        <v>105</v>
      </c>
      <c r="AC73" s="2" t="s">
        <v>19</v>
      </c>
      <c r="AE73" s="3" t="s">
        <v>4</v>
      </c>
      <c r="AF73" s="3" t="s">
        <v>5</v>
      </c>
      <c r="AG73" s="3" t="s">
        <v>6</v>
      </c>
      <c r="AH73" s="3" t="s">
        <v>7</v>
      </c>
      <c r="AI73" s="5" t="s">
        <v>2</v>
      </c>
      <c r="AJ73" s="12" t="s">
        <v>27</v>
      </c>
      <c r="AK73" s="12" t="s">
        <v>109</v>
      </c>
      <c r="AL73" s="2" t="s">
        <v>105</v>
      </c>
      <c r="AM73" s="2" t="s">
        <v>19</v>
      </c>
    </row>
    <row r="74" spans="1:39" ht="6.75" customHeight="1">
      <c r="C74" s="4"/>
      <c r="D74" s="40"/>
      <c r="E74" s="58"/>
    </row>
    <row r="75" spans="1:39" ht="15">
      <c r="D75" s="41" t="s">
        <v>107</v>
      </c>
      <c r="E75" s="59" t="s">
        <v>9</v>
      </c>
      <c r="G75" s="2" t="s">
        <v>21</v>
      </c>
      <c r="I75" s="2" t="s">
        <v>10</v>
      </c>
      <c r="K75" s="2" t="s">
        <v>11</v>
      </c>
    </row>
    <row r="76" spans="1:39">
      <c r="A76" s="2">
        <f>RANK(AC76,$AC$18:$AC$600,0)</f>
        <v>18</v>
      </c>
      <c r="B76" s="10">
        <v>3</v>
      </c>
      <c r="C76" s="4">
        <v>1</v>
      </c>
      <c r="D76" s="96" t="s">
        <v>164</v>
      </c>
      <c r="E76" s="60">
        <v>2.1</v>
      </c>
      <c r="G76" s="75">
        <f>_xlfn.IFS(I76="　",E76,IF(COUNTIF(D76,"*Acro-Pair*")&gt;=1,AND(I76="*")),"0.100",I76="*",0.5,I76="**",0)</f>
        <v>2.1</v>
      </c>
      <c r="I76" s="7" t="s">
        <v>22</v>
      </c>
      <c r="K76" s="56">
        <f>IF(D76="","",IF(COUNTIF(D76,"*HYB*")&gt;=1,$D$8,IF(AND(COUNTIF(D76,"*Acro*")&gt;=1),$E$8,IF(AND(COUNTIF(D76,"*TRE*")&gt;=1),$G$8))))</f>
        <v>0.2</v>
      </c>
      <c r="M76" s="13">
        <v>6.75</v>
      </c>
      <c r="O76" s="13">
        <v>6.25</v>
      </c>
      <c r="Q76" s="13">
        <v>5.5</v>
      </c>
      <c r="S76" s="13">
        <v>6</v>
      </c>
      <c r="U76" s="13">
        <v>6.75</v>
      </c>
      <c r="W76" s="9">
        <f>(SUM(M76:U76)-MAX(M76:U76)-MIN(M76:U76))/3</f>
        <v>6.333333333333333</v>
      </c>
      <c r="Y76" s="9">
        <f>IF(D76="","",ROUND(W76*G76*K76,4))</f>
        <v>2.66</v>
      </c>
      <c r="AB76" s="55"/>
      <c r="AC76" s="64">
        <f>Y88+Y95-AB76-AB77</f>
        <v>121.35419999999999</v>
      </c>
      <c r="AE76" s="37" t="str">
        <f>D68</f>
        <v>埼玉アーティスティックスイミングクラブ</v>
      </c>
      <c r="AF76" s="37" t="str">
        <f>D69</f>
        <v>埼玉アーティスティックスイミングクラブA</v>
      </c>
      <c r="AG76" s="37" t="str">
        <f>D70</f>
        <v>高藤たみこ/内藤ななみ/花藤はるか/松藤まりな/山藤やくみ</v>
      </c>
      <c r="AH76" s="37" t="str">
        <f>D71</f>
        <v>来藤らんらん/若藤わかな</v>
      </c>
      <c r="AI76" s="66">
        <f>Y88</f>
        <v>30.104199999999995</v>
      </c>
      <c r="AJ76" s="39">
        <f>Y95</f>
        <v>93.25</v>
      </c>
      <c r="AK76" s="65">
        <f>AB76</f>
        <v>0</v>
      </c>
      <c r="AL76" s="65">
        <f>AB77</f>
        <v>2</v>
      </c>
      <c r="AM76" s="64">
        <f>AC76</f>
        <v>121.35419999999999</v>
      </c>
    </row>
    <row r="77" spans="1:39">
      <c r="C77" s="4">
        <v>2</v>
      </c>
      <c r="D77" s="96" t="s">
        <v>164</v>
      </c>
      <c r="E77" s="60">
        <v>5.95</v>
      </c>
      <c r="G77" s="75">
        <f t="shared" ref="G77:G84" si="9">_xlfn.IFS(I77="　",E77,IF(COUNTIF(D77,"*Acro-Pair*")&gt;=1,AND(I77="*")),"0.100",I77="*",0.5,I77="**",0)</f>
        <v>5.95</v>
      </c>
      <c r="I77" s="7" t="s">
        <v>22</v>
      </c>
      <c r="K77" s="56">
        <f t="shared" ref="K77:K84" si="10">IF(D77="","",IF(COUNTIF(D77,"*HYB*")&gt;=1,$D$8,IF(AND(COUNTIF(D77,"*Acro*")&gt;=1),$E$8,IF(AND(COUNTIF(D77,"*TRE*")&gt;=1),$G$8))))</f>
        <v>0.2</v>
      </c>
      <c r="M77" s="13">
        <v>6</v>
      </c>
      <c r="O77" s="13">
        <v>6</v>
      </c>
      <c r="Q77" s="13">
        <v>5.75</v>
      </c>
      <c r="S77" s="13">
        <v>6</v>
      </c>
      <c r="U77" s="13">
        <v>7</v>
      </c>
      <c r="W77" s="9">
        <f t="shared" ref="W77:W84" si="11">(SUM(M77:U77)-MAX(M77:U77)-MIN(M77:U77))/3</f>
        <v>6</v>
      </c>
      <c r="Y77" s="9">
        <f t="shared" ref="Y77:Y84" si="12">IF(D77="","",ROUND(W77*G77*K77,4))</f>
        <v>7.14</v>
      </c>
      <c r="AB77" s="55">
        <v>2</v>
      </c>
    </row>
    <row r="78" spans="1:39">
      <c r="C78" s="4">
        <v>3</v>
      </c>
      <c r="D78" s="96" t="s">
        <v>164</v>
      </c>
      <c r="E78" s="60">
        <v>0.85</v>
      </c>
      <c r="G78" s="75">
        <f t="shared" si="9"/>
        <v>0.85</v>
      </c>
      <c r="I78" s="7" t="s">
        <v>22</v>
      </c>
      <c r="K78" s="56">
        <f t="shared" si="10"/>
        <v>0.2</v>
      </c>
      <c r="M78" s="13">
        <v>6.5</v>
      </c>
      <c r="O78" s="13">
        <v>6.25</v>
      </c>
      <c r="Q78" s="13">
        <v>6.75</v>
      </c>
      <c r="S78" s="13">
        <v>6.5</v>
      </c>
      <c r="U78" s="13">
        <v>6.75</v>
      </c>
      <c r="W78" s="9">
        <f t="shared" si="11"/>
        <v>6.583333333333333</v>
      </c>
      <c r="Y78" s="9">
        <f t="shared" si="12"/>
        <v>1.1192</v>
      </c>
    </row>
    <row r="79" spans="1:39">
      <c r="C79" s="4">
        <v>4</v>
      </c>
      <c r="D79" s="96" t="s">
        <v>207</v>
      </c>
      <c r="E79" s="60">
        <v>2.1</v>
      </c>
      <c r="G79" s="75">
        <f t="shared" si="9"/>
        <v>2.1</v>
      </c>
      <c r="I79" s="7" t="s">
        <v>22</v>
      </c>
      <c r="K79" s="56">
        <f t="shared" si="10"/>
        <v>0.8</v>
      </c>
      <c r="M79" s="13">
        <v>6.5</v>
      </c>
      <c r="O79" s="13">
        <v>6.25</v>
      </c>
      <c r="Q79" s="13">
        <v>6.5</v>
      </c>
      <c r="S79" s="13">
        <v>6.25</v>
      </c>
      <c r="U79" s="13">
        <v>6.75</v>
      </c>
      <c r="W79" s="9">
        <f t="shared" si="11"/>
        <v>6.416666666666667</v>
      </c>
      <c r="Y79" s="9">
        <f t="shared" si="12"/>
        <v>10.78</v>
      </c>
    </row>
    <row r="80" spans="1:39">
      <c r="C80" s="4">
        <v>5</v>
      </c>
      <c r="D80" s="96" t="s">
        <v>206</v>
      </c>
      <c r="E80" s="60">
        <v>2.1</v>
      </c>
      <c r="G80" s="75">
        <f t="shared" si="9"/>
        <v>0</v>
      </c>
      <c r="I80" s="7" t="s">
        <v>162</v>
      </c>
      <c r="K80" s="56">
        <f t="shared" si="10"/>
        <v>1</v>
      </c>
      <c r="M80" s="13">
        <v>7.5</v>
      </c>
      <c r="O80" s="13">
        <v>7.25</v>
      </c>
      <c r="Q80" s="13">
        <v>7.5</v>
      </c>
      <c r="S80" s="13">
        <v>7</v>
      </c>
      <c r="U80" s="13">
        <v>7.5</v>
      </c>
      <c r="W80" s="9">
        <f t="shared" si="11"/>
        <v>7.416666666666667</v>
      </c>
      <c r="Y80" s="9">
        <f t="shared" si="12"/>
        <v>0</v>
      </c>
    </row>
    <row r="81" spans="3:25">
      <c r="C81" s="4">
        <v>6</v>
      </c>
      <c r="D81" s="96" t="s">
        <v>208</v>
      </c>
      <c r="E81" s="60">
        <v>2.7</v>
      </c>
      <c r="G81" s="75">
        <f t="shared" si="9"/>
        <v>2.7</v>
      </c>
      <c r="I81" s="7" t="s">
        <v>22</v>
      </c>
      <c r="K81" s="56">
        <f t="shared" si="10"/>
        <v>1</v>
      </c>
      <c r="M81" s="13">
        <v>6.25</v>
      </c>
      <c r="O81" s="13">
        <v>6.25</v>
      </c>
      <c r="Q81" s="13">
        <v>5.75</v>
      </c>
      <c r="S81" s="13">
        <v>6</v>
      </c>
      <c r="U81" s="13">
        <v>6.5</v>
      </c>
      <c r="W81" s="9">
        <f t="shared" si="11"/>
        <v>6.166666666666667</v>
      </c>
      <c r="Y81" s="9">
        <f t="shared" si="12"/>
        <v>16.649999999999999</v>
      </c>
    </row>
    <row r="82" spans="3:25">
      <c r="C82" s="4">
        <v>7</v>
      </c>
      <c r="D82" s="96" t="s">
        <v>283</v>
      </c>
      <c r="E82" s="60">
        <v>1.2</v>
      </c>
      <c r="G82" s="75">
        <f t="shared" si="9"/>
        <v>1.2</v>
      </c>
      <c r="I82" s="7" t="s">
        <v>22</v>
      </c>
      <c r="K82" s="56">
        <f t="shared" si="10"/>
        <v>0.8</v>
      </c>
      <c r="M82" s="13">
        <v>6</v>
      </c>
      <c r="O82" s="13">
        <v>6</v>
      </c>
      <c r="Q82" s="13">
        <v>6</v>
      </c>
      <c r="S82" s="13">
        <v>5.75</v>
      </c>
      <c r="U82" s="13">
        <v>6.75</v>
      </c>
      <c r="W82" s="9">
        <f t="shared" si="11"/>
        <v>6</v>
      </c>
      <c r="Y82" s="9">
        <f t="shared" si="12"/>
        <v>5.76</v>
      </c>
    </row>
    <row r="83" spans="3:25">
      <c r="C83" s="4">
        <v>8</v>
      </c>
      <c r="D83" s="96" t="s">
        <v>164</v>
      </c>
      <c r="E83" s="60">
        <v>2.7</v>
      </c>
      <c r="G83" s="75">
        <f t="shared" si="9"/>
        <v>2.7</v>
      </c>
      <c r="I83" s="7" t="s">
        <v>22</v>
      </c>
      <c r="K83" s="56">
        <f t="shared" si="10"/>
        <v>0.2</v>
      </c>
      <c r="M83" s="13">
        <v>6.75</v>
      </c>
      <c r="O83" s="13">
        <v>5.25</v>
      </c>
      <c r="Q83" s="13">
        <v>5</v>
      </c>
      <c r="S83" s="13">
        <v>7</v>
      </c>
      <c r="U83" s="13">
        <v>5.75</v>
      </c>
      <c r="W83" s="9">
        <f t="shared" si="11"/>
        <v>5.916666666666667</v>
      </c>
      <c r="Y83" s="9">
        <f t="shared" si="12"/>
        <v>3.1949999999999998</v>
      </c>
    </row>
    <row r="84" spans="3:25">
      <c r="C84" s="4">
        <v>9</v>
      </c>
      <c r="D84" s="96" t="s">
        <v>164</v>
      </c>
      <c r="E84" s="60">
        <v>0.8</v>
      </c>
      <c r="G84" s="75">
        <f t="shared" si="9"/>
        <v>0.8</v>
      </c>
      <c r="I84" s="7" t="s">
        <v>22</v>
      </c>
      <c r="K84" s="56">
        <f t="shared" si="10"/>
        <v>0.2</v>
      </c>
      <c r="M84" s="13">
        <v>6.25</v>
      </c>
      <c r="O84" s="13">
        <v>6</v>
      </c>
      <c r="Q84" s="13">
        <v>6.5</v>
      </c>
      <c r="S84" s="13">
        <v>6</v>
      </c>
      <c r="U84" s="13">
        <v>6.75</v>
      </c>
      <c r="W84" s="9">
        <f t="shared" si="11"/>
        <v>6.25</v>
      </c>
      <c r="Y84" s="9">
        <f t="shared" si="12"/>
        <v>1</v>
      </c>
    </row>
    <row r="85" spans="3:25">
      <c r="U85" s="11" t="s">
        <v>23</v>
      </c>
      <c r="Y85" s="9">
        <f>SUM(Y76:Y84)</f>
        <v>48.304199999999994</v>
      </c>
    </row>
    <row r="86" spans="3:25">
      <c r="C86" s="8" t="s">
        <v>163</v>
      </c>
      <c r="U86" s="11" t="s">
        <v>24</v>
      </c>
      <c r="Y86" s="27">
        <v>18.2</v>
      </c>
    </row>
    <row r="87" spans="3:25">
      <c r="U87" s="11" t="s">
        <v>25</v>
      </c>
      <c r="Y87" s="27"/>
    </row>
    <row r="88" spans="3:25">
      <c r="U88" s="11" t="s">
        <v>26</v>
      </c>
      <c r="Y88" s="9">
        <f>Y85-Y86-Y87</f>
        <v>30.104199999999995</v>
      </c>
    </row>
    <row r="89" spans="3:25" ht="15">
      <c r="D89" s="12" t="s">
        <v>27</v>
      </c>
      <c r="U89" s="11"/>
    </row>
    <row r="90" spans="3:25">
      <c r="D90" s="2" t="s">
        <v>28</v>
      </c>
      <c r="K90" s="62">
        <f>$H$8</f>
        <v>1.5</v>
      </c>
      <c r="M90" s="13">
        <v>7.5</v>
      </c>
      <c r="O90" s="13">
        <v>7</v>
      </c>
      <c r="Q90" s="13">
        <v>7.25</v>
      </c>
      <c r="S90" s="13">
        <v>7.25</v>
      </c>
      <c r="U90" s="13">
        <v>7.5</v>
      </c>
      <c r="Y90" s="9">
        <f>ROUND((SUM(M90:U90)-MAX(M90:U90)-MIN(M90:U90))*K90,4)</f>
        <v>33</v>
      </c>
    </row>
    <row r="91" spans="3:25">
      <c r="D91" s="2" t="s">
        <v>29</v>
      </c>
      <c r="K91" s="62">
        <f>$K$8</f>
        <v>1.3</v>
      </c>
      <c r="M91" s="13">
        <v>7.25</v>
      </c>
      <c r="O91" s="13">
        <v>6.75</v>
      </c>
      <c r="Q91" s="13">
        <v>7.25</v>
      </c>
      <c r="S91" s="13">
        <v>6.5</v>
      </c>
      <c r="U91" s="13">
        <v>7.25</v>
      </c>
      <c r="Y91" s="9">
        <f>ROUND((SUM(M91:U91)-MAX(M91:U91)-MIN(M91:U91))*K91,4)</f>
        <v>27.625</v>
      </c>
    </row>
    <row r="92" spans="3:25">
      <c r="D92" s="2" t="s">
        <v>30</v>
      </c>
      <c r="K92" s="62">
        <f>$N$8</f>
        <v>1.5</v>
      </c>
      <c r="M92" s="13">
        <v>7.5</v>
      </c>
      <c r="O92" s="13">
        <v>7.25</v>
      </c>
      <c r="Q92" s="13">
        <v>7.25</v>
      </c>
      <c r="S92" s="13">
        <v>6.75</v>
      </c>
      <c r="U92" s="13">
        <v>7.25</v>
      </c>
      <c r="Y92" s="9">
        <f>ROUND((SUM(M92:U92)-MAX(M92:U92)-MIN(M92:U92))*K92,4)</f>
        <v>32.625</v>
      </c>
    </row>
    <row r="93" spans="3:25">
      <c r="U93" s="11" t="s">
        <v>31</v>
      </c>
      <c r="Y93" s="9">
        <f>SUM(Y90:Y92)</f>
        <v>93.25</v>
      </c>
    </row>
    <row r="94" spans="3:25">
      <c r="U94" s="11" t="s">
        <v>32</v>
      </c>
      <c r="Y94" s="27"/>
    </row>
    <row r="95" spans="3:25">
      <c r="U95" s="11" t="s">
        <v>33</v>
      </c>
      <c r="Y95" s="9">
        <f>Y93-Y94</f>
        <v>93.25</v>
      </c>
    </row>
    <row r="97" spans="1:39">
      <c r="C97" s="3" t="s">
        <v>4</v>
      </c>
      <c r="D97" s="99" t="s">
        <v>261</v>
      </c>
      <c r="E97" s="58"/>
    </row>
    <row r="98" spans="1:39">
      <c r="C98" s="3" t="s">
        <v>5</v>
      </c>
      <c r="D98" s="100" t="s">
        <v>262</v>
      </c>
      <c r="E98" s="58"/>
    </row>
    <row r="99" spans="1:39">
      <c r="C99" s="3" t="s">
        <v>6</v>
      </c>
      <c r="D99" s="100" t="s">
        <v>263</v>
      </c>
      <c r="E99" s="58"/>
    </row>
    <row r="100" spans="1:39">
      <c r="C100" s="3" t="s">
        <v>7</v>
      </c>
      <c r="D100" s="40" t="s">
        <v>241</v>
      </c>
      <c r="E100" s="58"/>
      <c r="AB100" s="42" t="s">
        <v>104</v>
      </c>
      <c r="AE100" s="2" t="s">
        <v>47</v>
      </c>
    </row>
    <row r="101" spans="1:39" ht="6.75" customHeight="1">
      <c r="C101" s="4"/>
      <c r="D101" s="40"/>
      <c r="E101" s="58"/>
      <c r="AB101" s="42"/>
    </row>
    <row r="102" spans="1:39" ht="15">
      <c r="A102" s="2" t="s">
        <v>20</v>
      </c>
      <c r="B102" s="14" t="s">
        <v>34</v>
      </c>
      <c r="C102" s="3" t="s">
        <v>8</v>
      </c>
      <c r="D102" s="2" t="s">
        <v>1</v>
      </c>
      <c r="E102" s="57">
        <f>SUM(E105:E113)</f>
        <v>18.7</v>
      </c>
      <c r="M102" s="6" t="s">
        <v>12</v>
      </c>
      <c r="O102" s="6" t="s">
        <v>13</v>
      </c>
      <c r="Q102" s="6" t="s">
        <v>14</v>
      </c>
      <c r="S102" s="6" t="s">
        <v>15</v>
      </c>
      <c r="U102" s="6" t="s">
        <v>16</v>
      </c>
      <c r="W102" s="9" t="s">
        <v>17</v>
      </c>
      <c r="Y102" s="9" t="s">
        <v>18</v>
      </c>
      <c r="AB102" s="42" t="s">
        <v>105</v>
      </c>
      <c r="AC102" s="2" t="s">
        <v>19</v>
      </c>
      <c r="AE102" s="3" t="s">
        <v>4</v>
      </c>
      <c r="AF102" s="3" t="s">
        <v>5</v>
      </c>
      <c r="AG102" s="3" t="s">
        <v>6</v>
      </c>
      <c r="AH102" s="3" t="s">
        <v>7</v>
      </c>
      <c r="AI102" s="5" t="s">
        <v>2</v>
      </c>
      <c r="AJ102" s="12" t="s">
        <v>27</v>
      </c>
      <c r="AK102" s="12" t="s">
        <v>109</v>
      </c>
      <c r="AL102" s="2" t="s">
        <v>105</v>
      </c>
      <c r="AM102" s="2" t="s">
        <v>19</v>
      </c>
    </row>
    <row r="103" spans="1:39" ht="6.75" customHeight="1">
      <c r="C103" s="4"/>
      <c r="D103" s="40"/>
      <c r="E103" s="58"/>
    </row>
    <row r="104" spans="1:39" ht="15">
      <c r="D104" s="41" t="s">
        <v>107</v>
      </c>
      <c r="E104" s="59" t="s">
        <v>9</v>
      </c>
      <c r="G104" s="2" t="s">
        <v>21</v>
      </c>
      <c r="I104" s="2" t="s">
        <v>10</v>
      </c>
      <c r="K104" s="2" t="s">
        <v>11</v>
      </c>
    </row>
    <row r="105" spans="1:39">
      <c r="A105" s="2">
        <f>RANK(AC105,$AC$18:$AC$600,0)</f>
        <v>1</v>
      </c>
      <c r="B105" s="10">
        <v>4</v>
      </c>
      <c r="C105" s="4">
        <v>1</v>
      </c>
      <c r="D105" s="96" t="s">
        <v>164</v>
      </c>
      <c r="E105" s="60">
        <v>0.75</v>
      </c>
      <c r="G105" s="75">
        <f>_xlfn.IFS(I105="　",E105,IF(COUNTIF(D105,"*Acro-Pair*")&gt;=1,AND(I105="*")),"0.100",I105="*",0.5,I105="**",0)</f>
        <v>0.75</v>
      </c>
      <c r="I105" s="7" t="s">
        <v>22</v>
      </c>
      <c r="K105" s="56">
        <f>IF(D105="","",IF(COUNTIF(D105,"*HYB*")&gt;=1,$D$8,IF(AND(COUNTIF(D105,"*Acro*")&gt;=1),$E$8,IF(AND(COUNTIF(D105,"*TRE*")&gt;=1),$G$8))))</f>
        <v>0.2</v>
      </c>
      <c r="M105" s="13">
        <v>8</v>
      </c>
      <c r="O105" s="13">
        <v>8</v>
      </c>
      <c r="Q105" s="13">
        <v>7.25</v>
      </c>
      <c r="S105" s="13">
        <v>8</v>
      </c>
      <c r="U105" s="13">
        <v>7.5</v>
      </c>
      <c r="W105" s="9">
        <f>(SUM(M105:U105)-MAX(M105:U105)-MIN(M105:U105))/3</f>
        <v>7.833333333333333</v>
      </c>
      <c r="Y105" s="9">
        <f>IF(D105="","",ROUND(W105*G105*K105,4))</f>
        <v>1.175</v>
      </c>
      <c r="AB105" s="55">
        <v>1</v>
      </c>
      <c r="AC105" s="64">
        <f>Y117+Y124-AB105-AB106</f>
        <v>167.5017</v>
      </c>
      <c r="AE105" s="37" t="str">
        <f>D97</f>
        <v>柏アーティスティックスイミングクラブ</v>
      </c>
      <c r="AF105" s="37" t="str">
        <f>D98</f>
        <v>柏アーティスティックスイミングクラブA</v>
      </c>
      <c r="AG105" s="37" t="str">
        <f>D99</f>
        <v>内藤ななみ/花藤はるか/松藤まりな/山藤やくみ</v>
      </c>
      <c r="AH105" s="37" t="str">
        <f>D100</f>
        <v>来藤らんらん/若藤わかな</v>
      </c>
      <c r="AI105" s="66">
        <f>Y117</f>
        <v>68.476699999999994</v>
      </c>
      <c r="AJ105" s="39">
        <f>Y124</f>
        <v>100.02500000000001</v>
      </c>
      <c r="AK105" s="65">
        <f>AB105</f>
        <v>1</v>
      </c>
      <c r="AL105" s="65">
        <f>AB106</f>
        <v>0</v>
      </c>
      <c r="AM105" s="64">
        <f>AC105</f>
        <v>167.5017</v>
      </c>
    </row>
    <row r="106" spans="1:39">
      <c r="C106" s="4">
        <v>2</v>
      </c>
      <c r="D106" s="96" t="s">
        <v>164</v>
      </c>
      <c r="E106" s="60">
        <v>5.95</v>
      </c>
      <c r="G106" s="75">
        <f t="shared" ref="G106:G113" si="13">_xlfn.IFS(I106="　",E106,IF(COUNTIF(D106,"*Acro-Pair*")&gt;=1,AND(I106="*")),"0.100",I106="*",0.5,I106="**",0)</f>
        <v>5.95</v>
      </c>
      <c r="I106" s="7" t="s">
        <v>22</v>
      </c>
      <c r="K106" s="56">
        <f t="shared" ref="K106:K113" si="14">IF(D106="","",IF(COUNTIF(D106,"*HYB*")&gt;=1,$D$8,IF(AND(COUNTIF(D106,"*Acro*")&gt;=1),$E$8,IF(AND(COUNTIF(D106,"*TRE*")&gt;=1),$G$8))))</f>
        <v>0.2</v>
      </c>
      <c r="M106" s="13">
        <v>8.5</v>
      </c>
      <c r="O106" s="13">
        <v>9</v>
      </c>
      <c r="Q106" s="13">
        <v>8</v>
      </c>
      <c r="S106" s="13">
        <v>7.5</v>
      </c>
      <c r="U106" s="13">
        <v>7.5</v>
      </c>
      <c r="W106" s="9">
        <f t="shared" ref="W106:W113" si="15">(SUM(M106:U106)-MAX(M106:U106)-MIN(M106:U106))/3</f>
        <v>8</v>
      </c>
      <c r="Y106" s="9">
        <f t="shared" ref="Y106:Y113" si="16">IF(D106="","",ROUND(W106*G106*K106,4))</f>
        <v>9.52</v>
      </c>
      <c r="AB106" s="55"/>
    </row>
    <row r="107" spans="1:39">
      <c r="C107" s="4">
        <v>3</v>
      </c>
      <c r="D107" s="96" t="s">
        <v>206</v>
      </c>
      <c r="E107" s="60">
        <v>2.1</v>
      </c>
      <c r="G107" s="75">
        <f t="shared" si="13"/>
        <v>2.1</v>
      </c>
      <c r="I107" s="7" t="s">
        <v>22</v>
      </c>
      <c r="K107" s="56">
        <f t="shared" si="14"/>
        <v>1</v>
      </c>
      <c r="M107" s="13">
        <v>7.5</v>
      </c>
      <c r="O107" s="13">
        <v>7.75</v>
      </c>
      <c r="Q107" s="13">
        <v>7.25</v>
      </c>
      <c r="S107" s="13">
        <v>7</v>
      </c>
      <c r="U107" s="13">
        <v>7.25</v>
      </c>
      <c r="W107" s="9">
        <f t="shared" si="15"/>
        <v>7.333333333333333</v>
      </c>
      <c r="Y107" s="9">
        <f t="shared" si="16"/>
        <v>15.4</v>
      </c>
    </row>
    <row r="108" spans="1:39">
      <c r="C108" s="4">
        <v>4</v>
      </c>
      <c r="D108" s="96" t="s">
        <v>207</v>
      </c>
      <c r="E108" s="60">
        <v>0.6</v>
      </c>
      <c r="G108" s="75">
        <f t="shared" si="13"/>
        <v>0.5</v>
      </c>
      <c r="I108" s="7" t="s">
        <v>161</v>
      </c>
      <c r="K108" s="56">
        <f t="shared" si="14"/>
        <v>0.8</v>
      </c>
      <c r="M108" s="13">
        <v>7.75</v>
      </c>
      <c r="O108" s="13">
        <v>6.5</v>
      </c>
      <c r="Q108" s="13">
        <v>6.75</v>
      </c>
      <c r="S108" s="13">
        <v>6.75</v>
      </c>
      <c r="U108" s="13">
        <v>5.75</v>
      </c>
      <c r="W108" s="9">
        <f t="shared" si="15"/>
        <v>6.666666666666667</v>
      </c>
      <c r="Y108" s="9">
        <f t="shared" si="16"/>
        <v>2.6667000000000001</v>
      </c>
    </row>
    <row r="109" spans="1:39">
      <c r="C109" s="4">
        <v>5</v>
      </c>
      <c r="D109" s="96" t="s">
        <v>206</v>
      </c>
      <c r="E109" s="60">
        <v>2.1</v>
      </c>
      <c r="G109" s="75">
        <f t="shared" si="13"/>
        <v>2.1</v>
      </c>
      <c r="I109" s="7" t="s">
        <v>22</v>
      </c>
      <c r="K109" s="56">
        <f t="shared" si="14"/>
        <v>1</v>
      </c>
      <c r="M109" s="13">
        <v>7.5</v>
      </c>
      <c r="O109" s="13">
        <v>7.25</v>
      </c>
      <c r="Q109" s="13">
        <v>7</v>
      </c>
      <c r="S109" s="13">
        <v>6.75</v>
      </c>
      <c r="U109" s="13">
        <v>7.25</v>
      </c>
      <c r="W109" s="9">
        <f t="shared" si="15"/>
        <v>7.166666666666667</v>
      </c>
      <c r="Y109" s="9">
        <f t="shared" si="16"/>
        <v>15.05</v>
      </c>
    </row>
    <row r="110" spans="1:39">
      <c r="C110" s="4">
        <v>6</v>
      </c>
      <c r="D110" s="96" t="s">
        <v>208</v>
      </c>
      <c r="E110" s="60">
        <v>2.7</v>
      </c>
      <c r="G110" s="75">
        <f t="shared" si="13"/>
        <v>2.7</v>
      </c>
      <c r="I110" s="7" t="s">
        <v>22</v>
      </c>
      <c r="K110" s="56">
        <f t="shared" si="14"/>
        <v>1</v>
      </c>
      <c r="M110" s="13">
        <v>7.75</v>
      </c>
      <c r="O110" s="13">
        <v>7.5</v>
      </c>
      <c r="Q110" s="13">
        <v>7.25</v>
      </c>
      <c r="S110" s="13">
        <v>7</v>
      </c>
      <c r="U110" s="13">
        <v>7</v>
      </c>
      <c r="W110" s="9">
        <f t="shared" si="15"/>
        <v>7.25</v>
      </c>
      <c r="Y110" s="9">
        <f t="shared" si="16"/>
        <v>19.574999999999999</v>
      </c>
    </row>
    <row r="111" spans="1:39">
      <c r="C111" s="4">
        <v>7</v>
      </c>
      <c r="D111" s="96" t="s">
        <v>283</v>
      </c>
      <c r="E111" s="60">
        <v>1.2</v>
      </c>
      <c r="G111" s="75">
        <f t="shared" si="13"/>
        <v>1.2</v>
      </c>
      <c r="I111" s="7" t="s">
        <v>22</v>
      </c>
      <c r="K111" s="56">
        <f t="shared" si="14"/>
        <v>0.8</v>
      </c>
      <c r="M111" s="13">
        <v>7.5</v>
      </c>
      <c r="O111" s="13">
        <v>7.5</v>
      </c>
      <c r="Q111" s="13">
        <v>7</v>
      </c>
      <c r="S111" s="13">
        <v>7</v>
      </c>
      <c r="U111" s="13">
        <v>7</v>
      </c>
      <c r="W111" s="9">
        <f t="shared" si="15"/>
        <v>7.166666666666667</v>
      </c>
      <c r="Y111" s="9">
        <f t="shared" si="16"/>
        <v>6.88</v>
      </c>
    </row>
    <row r="112" spans="1:39">
      <c r="C112" s="4">
        <v>8</v>
      </c>
      <c r="D112" s="96" t="s">
        <v>164</v>
      </c>
      <c r="E112" s="60">
        <v>2.7</v>
      </c>
      <c r="G112" s="75">
        <f t="shared" si="13"/>
        <v>2.7</v>
      </c>
      <c r="I112" s="7" t="s">
        <v>22</v>
      </c>
      <c r="K112" s="56">
        <f t="shared" si="14"/>
        <v>0.2</v>
      </c>
      <c r="M112" s="13">
        <v>7.5</v>
      </c>
      <c r="O112" s="13">
        <v>7.25</v>
      </c>
      <c r="Q112" s="13">
        <v>6.75</v>
      </c>
      <c r="S112" s="13">
        <v>6.5</v>
      </c>
      <c r="U112" s="13">
        <v>7</v>
      </c>
      <c r="W112" s="9">
        <f t="shared" si="15"/>
        <v>7</v>
      </c>
      <c r="Y112" s="9">
        <f t="shared" si="16"/>
        <v>3.78</v>
      </c>
    </row>
    <row r="113" spans="3:25">
      <c r="C113" s="4">
        <v>9</v>
      </c>
      <c r="D113" s="96" t="s">
        <v>164</v>
      </c>
      <c r="E113" s="60">
        <v>0.6</v>
      </c>
      <c r="G113" s="75">
        <f t="shared" si="13"/>
        <v>0.6</v>
      </c>
      <c r="I113" s="7" t="s">
        <v>22</v>
      </c>
      <c r="K113" s="56">
        <f t="shared" si="14"/>
        <v>0.2</v>
      </c>
      <c r="M113" s="13">
        <v>7.75</v>
      </c>
      <c r="O113" s="13">
        <v>6.75</v>
      </c>
      <c r="Q113" s="13">
        <v>6.75</v>
      </c>
      <c r="S113" s="13">
        <v>7</v>
      </c>
      <c r="U113" s="13">
        <v>7</v>
      </c>
      <c r="W113" s="9">
        <f t="shared" si="15"/>
        <v>6.916666666666667</v>
      </c>
      <c r="Y113" s="9">
        <f t="shared" si="16"/>
        <v>0.83</v>
      </c>
    </row>
    <row r="114" spans="3:25">
      <c r="U114" s="11" t="s">
        <v>23</v>
      </c>
      <c r="Y114" s="9">
        <f>SUM(Y105:Y113)</f>
        <v>74.8767</v>
      </c>
    </row>
    <row r="115" spans="3:25">
      <c r="C115" s="8" t="s">
        <v>163</v>
      </c>
      <c r="U115" s="11" t="s">
        <v>24</v>
      </c>
      <c r="Y115" s="27">
        <v>6.4</v>
      </c>
    </row>
    <row r="116" spans="3:25">
      <c r="U116" s="11" t="s">
        <v>25</v>
      </c>
      <c r="Y116" s="27"/>
    </row>
    <row r="117" spans="3:25">
      <c r="U117" s="11" t="s">
        <v>26</v>
      </c>
      <c r="Y117" s="9">
        <f>Y114-Y115-Y116</f>
        <v>68.476699999999994</v>
      </c>
    </row>
    <row r="118" spans="3:25" ht="15">
      <c r="D118" s="12" t="s">
        <v>27</v>
      </c>
      <c r="U118" s="11"/>
    </row>
    <row r="119" spans="3:25">
      <c r="D119" s="2" t="s">
        <v>28</v>
      </c>
      <c r="K119" s="62">
        <f>$H$8</f>
        <v>1.5</v>
      </c>
      <c r="M119" s="13">
        <v>7.75</v>
      </c>
      <c r="O119" s="13">
        <v>7.75</v>
      </c>
      <c r="Q119" s="13">
        <v>8</v>
      </c>
      <c r="S119" s="13">
        <v>7.75</v>
      </c>
      <c r="U119" s="13">
        <v>8</v>
      </c>
      <c r="Y119" s="9">
        <f>ROUND((SUM(M119:U119)-MAX(M119:U119)-MIN(M119:U119))*K119,4)</f>
        <v>35.25</v>
      </c>
    </row>
    <row r="120" spans="3:25">
      <c r="D120" s="2" t="s">
        <v>29</v>
      </c>
      <c r="K120" s="62">
        <f>$K$8</f>
        <v>1.3</v>
      </c>
      <c r="M120" s="13">
        <v>7.5</v>
      </c>
      <c r="O120" s="13">
        <v>7.75</v>
      </c>
      <c r="Q120" s="13">
        <v>7.75</v>
      </c>
      <c r="S120" s="13">
        <v>7.5</v>
      </c>
      <c r="U120" s="13">
        <v>7.75</v>
      </c>
      <c r="Y120" s="9">
        <f>ROUND((SUM(M120:U120)-MAX(M120:U120)-MIN(M120:U120))*K120,4)</f>
        <v>29.9</v>
      </c>
    </row>
    <row r="121" spans="3:25">
      <c r="D121" s="2" t="s">
        <v>30</v>
      </c>
      <c r="K121" s="62">
        <f>$N$8</f>
        <v>1.5</v>
      </c>
      <c r="M121" s="13">
        <v>7.5</v>
      </c>
      <c r="O121" s="13">
        <v>8</v>
      </c>
      <c r="Q121" s="13">
        <v>7.75</v>
      </c>
      <c r="S121" s="13">
        <v>7.75</v>
      </c>
      <c r="U121" s="13">
        <v>7.75</v>
      </c>
      <c r="Y121" s="9">
        <f>ROUND((SUM(M121:U121)-MAX(M121:U121)-MIN(M121:U121))*K121,4)</f>
        <v>34.875</v>
      </c>
    </row>
    <row r="122" spans="3:25">
      <c r="U122" s="11" t="s">
        <v>31</v>
      </c>
      <c r="Y122" s="9">
        <f>SUM(Y119:Y121)</f>
        <v>100.02500000000001</v>
      </c>
    </row>
    <row r="123" spans="3:25">
      <c r="U123" s="11" t="s">
        <v>32</v>
      </c>
      <c r="Y123" s="27"/>
    </row>
    <row r="124" spans="3:25">
      <c r="U124" s="11" t="s">
        <v>33</v>
      </c>
      <c r="Y124" s="9">
        <f>Y122-Y123</f>
        <v>100.02500000000001</v>
      </c>
    </row>
    <row r="126" spans="3:25">
      <c r="C126" s="3" t="s">
        <v>4</v>
      </c>
      <c r="D126" s="99" t="s">
        <v>258</v>
      </c>
      <c r="E126" s="58"/>
    </row>
    <row r="127" spans="3:25">
      <c r="C127" s="3" t="s">
        <v>5</v>
      </c>
      <c r="D127" s="100" t="s">
        <v>259</v>
      </c>
      <c r="E127" s="58"/>
    </row>
    <row r="128" spans="3:25">
      <c r="C128" s="3" t="s">
        <v>6</v>
      </c>
      <c r="D128" s="100" t="s">
        <v>260</v>
      </c>
      <c r="E128" s="58"/>
    </row>
    <row r="129" spans="1:39">
      <c r="C129" s="3" t="s">
        <v>7</v>
      </c>
      <c r="D129" s="40" t="s">
        <v>241</v>
      </c>
      <c r="E129" s="58"/>
      <c r="AB129" s="42" t="s">
        <v>104</v>
      </c>
      <c r="AE129" s="2" t="s">
        <v>47</v>
      </c>
    </row>
    <row r="130" spans="1:39" ht="6.75" customHeight="1">
      <c r="C130" s="4"/>
      <c r="D130" s="40"/>
      <c r="E130" s="58"/>
      <c r="AB130" s="42"/>
    </row>
    <row r="131" spans="1:39" ht="15">
      <c r="A131" s="2" t="s">
        <v>20</v>
      </c>
      <c r="B131" s="14" t="s">
        <v>34</v>
      </c>
      <c r="C131" s="3" t="s">
        <v>8</v>
      </c>
      <c r="D131" s="2" t="s">
        <v>1</v>
      </c>
      <c r="E131" s="57">
        <f>SUM(E134:E142)</f>
        <v>18.7</v>
      </c>
      <c r="M131" s="6" t="s">
        <v>12</v>
      </c>
      <c r="O131" s="6" t="s">
        <v>13</v>
      </c>
      <c r="Q131" s="6" t="s">
        <v>14</v>
      </c>
      <c r="S131" s="6" t="s">
        <v>15</v>
      </c>
      <c r="U131" s="6" t="s">
        <v>16</v>
      </c>
      <c r="W131" s="9" t="s">
        <v>17</v>
      </c>
      <c r="Y131" s="9" t="s">
        <v>18</v>
      </c>
      <c r="AB131" s="42" t="s">
        <v>105</v>
      </c>
      <c r="AC131" s="2" t="s">
        <v>19</v>
      </c>
      <c r="AE131" s="3" t="s">
        <v>4</v>
      </c>
      <c r="AF131" s="3" t="s">
        <v>5</v>
      </c>
      <c r="AG131" s="3" t="s">
        <v>6</v>
      </c>
      <c r="AH131" s="3" t="s">
        <v>7</v>
      </c>
      <c r="AI131" s="5" t="s">
        <v>2</v>
      </c>
      <c r="AJ131" s="12" t="s">
        <v>27</v>
      </c>
      <c r="AK131" s="12" t="s">
        <v>109</v>
      </c>
      <c r="AL131" s="2" t="s">
        <v>105</v>
      </c>
      <c r="AM131" s="2" t="s">
        <v>19</v>
      </c>
    </row>
    <row r="132" spans="1:39" ht="6.75" customHeight="1">
      <c r="C132" s="4"/>
      <c r="D132" s="40"/>
      <c r="E132" s="58"/>
    </row>
    <row r="133" spans="1:39" ht="15">
      <c r="D133" s="41" t="s">
        <v>107</v>
      </c>
      <c r="E133" s="59" t="s">
        <v>9</v>
      </c>
      <c r="G133" s="2" t="s">
        <v>21</v>
      </c>
      <c r="I133" s="2" t="s">
        <v>10</v>
      </c>
      <c r="K133" s="2" t="s">
        <v>11</v>
      </c>
    </row>
    <row r="134" spans="1:39">
      <c r="A134" s="2">
        <f>RANK(AC134,$AC$18:$AC$600,0)</f>
        <v>13</v>
      </c>
      <c r="B134" s="10">
        <v>5</v>
      </c>
      <c r="C134" s="4">
        <v>1</v>
      </c>
      <c r="D134" s="96" t="s">
        <v>164</v>
      </c>
      <c r="E134" s="60">
        <v>0.75</v>
      </c>
      <c r="G134" s="75">
        <f>_xlfn.IFS(I134="　",E134,IF(COUNTIF(D134,"*Acro-Pair*")&gt;=1,AND(I134="*")),"0.100",I134="*",0.5,I134="**",0)</f>
        <v>0.75</v>
      </c>
      <c r="I134" s="7" t="s">
        <v>22</v>
      </c>
      <c r="K134" s="56">
        <f>IF(D134="","",IF(COUNTIF(D134,"*HYB*")&gt;=1,$D$8,IF(AND(COUNTIF(D134,"*Acro*")&gt;=1),$E$8,IF(AND(COUNTIF(D134,"*TRE*")&gt;=1),$G$8))))</f>
        <v>0.2</v>
      </c>
      <c r="M134" s="13">
        <v>7.5</v>
      </c>
      <c r="O134" s="13">
        <v>7.25</v>
      </c>
      <c r="Q134" s="13">
        <v>7.25</v>
      </c>
      <c r="S134" s="13">
        <v>8</v>
      </c>
      <c r="U134" s="13">
        <v>6.75</v>
      </c>
      <c r="W134" s="9">
        <f>(SUM(M134:U134)-MAX(M134:U134)-MIN(M134:U134))/3</f>
        <v>7.333333333333333</v>
      </c>
      <c r="Y134" s="9">
        <f>IF(D134="","",ROUND(W134*G134*K134,4))</f>
        <v>1.1000000000000001</v>
      </c>
      <c r="AB134" s="55"/>
      <c r="AC134" s="64">
        <f>Y146+Y153-AB134-AB135</f>
        <v>159.80500000000001</v>
      </c>
      <c r="AE134" s="37" t="str">
        <f>D126</f>
        <v>筑波アーティスティックスイミングクラブ</v>
      </c>
      <c r="AF134" s="37" t="str">
        <f>D127</f>
        <v>筑波アーティスティックスイミングクラブA</v>
      </c>
      <c r="AG134" s="37" t="str">
        <f>D128</f>
        <v>花藤はるか/松藤まりな/山藤やくみ</v>
      </c>
      <c r="AH134" s="37" t="str">
        <f>D129</f>
        <v>来藤らんらん/若藤わかな</v>
      </c>
      <c r="AI134" s="66">
        <f>Y146</f>
        <v>59.455000000000013</v>
      </c>
      <c r="AJ134" s="39">
        <f>Y153</f>
        <v>100.35</v>
      </c>
      <c r="AK134" s="65">
        <f>AB134</f>
        <v>0</v>
      </c>
      <c r="AL134" s="65">
        <f>AB135</f>
        <v>0</v>
      </c>
      <c r="AM134" s="64">
        <f>AC134</f>
        <v>159.80500000000001</v>
      </c>
    </row>
    <row r="135" spans="1:39">
      <c r="C135" s="4">
        <v>2</v>
      </c>
      <c r="D135" s="96" t="s">
        <v>164</v>
      </c>
      <c r="E135" s="60">
        <v>5.95</v>
      </c>
      <c r="G135" s="75">
        <f t="shared" ref="G135:G142" si="17">_xlfn.IFS(I135="　",E135,IF(COUNTIF(D135,"*Acro-Pair*")&gt;=1,AND(I135="*")),"0.100",I135="*",0.5,I135="**",0)</f>
        <v>5.95</v>
      </c>
      <c r="I135" s="7" t="s">
        <v>22</v>
      </c>
      <c r="K135" s="56">
        <f t="shared" ref="K135:K142" si="18">IF(D135="","",IF(COUNTIF(D135,"*HYB*")&gt;=1,$D$8,IF(AND(COUNTIF(D135,"*Acro*")&gt;=1),$E$8,IF(AND(COUNTIF(D135,"*TRE*")&gt;=1),$G$8))))</f>
        <v>0.2</v>
      </c>
      <c r="M135" s="13">
        <v>7.5</v>
      </c>
      <c r="O135" s="13">
        <v>8</v>
      </c>
      <c r="Q135" s="13">
        <v>8.25</v>
      </c>
      <c r="S135" s="13">
        <v>7</v>
      </c>
      <c r="U135" s="13">
        <v>8</v>
      </c>
      <c r="W135" s="9">
        <f t="shared" ref="W135:W142" si="19">(SUM(M135:U135)-MAX(M135:U135)-MIN(M135:U135))/3</f>
        <v>7.833333333333333</v>
      </c>
      <c r="Y135" s="9">
        <f t="shared" ref="Y135:Y142" si="20">IF(D135="","",ROUND(W135*G135*K135,4))</f>
        <v>9.3216999999999999</v>
      </c>
      <c r="AB135" s="55"/>
    </row>
    <row r="136" spans="1:39">
      <c r="C136" s="4">
        <v>3</v>
      </c>
      <c r="D136" s="96" t="s">
        <v>206</v>
      </c>
      <c r="E136" s="60">
        <v>2.1</v>
      </c>
      <c r="G136" s="75">
        <f t="shared" si="17"/>
        <v>2.1</v>
      </c>
      <c r="I136" s="7" t="s">
        <v>22</v>
      </c>
      <c r="K136" s="56">
        <f t="shared" si="18"/>
        <v>1</v>
      </c>
      <c r="M136" s="13">
        <v>7</v>
      </c>
      <c r="O136" s="13">
        <v>7</v>
      </c>
      <c r="Q136" s="13">
        <v>7</v>
      </c>
      <c r="S136" s="13">
        <v>7</v>
      </c>
      <c r="U136" s="13">
        <v>7</v>
      </c>
      <c r="W136" s="9">
        <f t="shared" si="19"/>
        <v>7</v>
      </c>
      <c r="Y136" s="9">
        <f t="shared" si="20"/>
        <v>14.7</v>
      </c>
    </row>
    <row r="137" spans="1:39">
      <c r="C137" s="4">
        <v>4</v>
      </c>
      <c r="D137" s="96" t="s">
        <v>207</v>
      </c>
      <c r="E137" s="60">
        <v>0.6</v>
      </c>
      <c r="G137" s="75">
        <f t="shared" si="17"/>
        <v>0.6</v>
      </c>
      <c r="I137" s="7" t="s">
        <v>22</v>
      </c>
      <c r="K137" s="56">
        <f t="shared" si="18"/>
        <v>0.8</v>
      </c>
      <c r="M137" s="13">
        <v>7</v>
      </c>
      <c r="O137" s="13">
        <v>6.75</v>
      </c>
      <c r="Q137" s="13">
        <v>6.75</v>
      </c>
      <c r="S137" s="13">
        <v>7</v>
      </c>
      <c r="U137" s="13">
        <v>7</v>
      </c>
      <c r="W137" s="9">
        <f t="shared" si="19"/>
        <v>6.916666666666667</v>
      </c>
      <c r="Y137" s="9">
        <f t="shared" si="20"/>
        <v>3.32</v>
      </c>
    </row>
    <row r="138" spans="1:39">
      <c r="C138" s="4">
        <v>5</v>
      </c>
      <c r="D138" s="96" t="s">
        <v>206</v>
      </c>
      <c r="E138" s="60">
        <v>2.1</v>
      </c>
      <c r="G138" s="75">
        <f t="shared" si="17"/>
        <v>2.1</v>
      </c>
      <c r="I138" s="7" t="s">
        <v>22</v>
      </c>
      <c r="K138" s="56">
        <f t="shared" si="18"/>
        <v>1</v>
      </c>
      <c r="M138" s="13">
        <v>6.75</v>
      </c>
      <c r="O138" s="13">
        <v>6.25</v>
      </c>
      <c r="Q138" s="13">
        <v>6.5</v>
      </c>
      <c r="S138" s="13">
        <v>6.75</v>
      </c>
      <c r="U138" s="13">
        <v>7</v>
      </c>
      <c r="W138" s="9">
        <f t="shared" si="19"/>
        <v>6.666666666666667</v>
      </c>
      <c r="Y138" s="9">
        <f t="shared" si="20"/>
        <v>14</v>
      </c>
    </row>
    <row r="139" spans="1:39">
      <c r="C139" s="4">
        <v>6</v>
      </c>
      <c r="D139" s="96" t="s">
        <v>208</v>
      </c>
      <c r="E139" s="60">
        <v>2.7</v>
      </c>
      <c r="G139" s="75">
        <f t="shared" si="17"/>
        <v>2.7</v>
      </c>
      <c r="I139" s="7" t="s">
        <v>22</v>
      </c>
      <c r="K139" s="56">
        <f t="shared" si="18"/>
        <v>1</v>
      </c>
      <c r="M139" s="13">
        <v>6.75</v>
      </c>
      <c r="O139" s="13">
        <v>5.25</v>
      </c>
      <c r="Q139" s="13">
        <v>6</v>
      </c>
      <c r="S139" s="13">
        <v>7.5</v>
      </c>
      <c r="U139" s="13">
        <v>6.25</v>
      </c>
      <c r="W139" s="9">
        <f t="shared" si="19"/>
        <v>6.333333333333333</v>
      </c>
      <c r="Y139" s="9">
        <f t="shared" si="20"/>
        <v>17.100000000000001</v>
      </c>
    </row>
    <row r="140" spans="1:39">
      <c r="C140" s="4">
        <v>7</v>
      </c>
      <c r="D140" s="96" t="s">
        <v>283</v>
      </c>
      <c r="E140" s="60">
        <v>1.2</v>
      </c>
      <c r="G140" s="75">
        <f t="shared" si="17"/>
        <v>1.2</v>
      </c>
      <c r="I140" s="7" t="s">
        <v>22</v>
      </c>
      <c r="K140" s="56">
        <f t="shared" si="18"/>
        <v>0.8</v>
      </c>
      <c r="M140" s="13">
        <v>7.75</v>
      </c>
      <c r="O140" s="13">
        <v>7.25</v>
      </c>
      <c r="Q140" s="13">
        <v>7</v>
      </c>
      <c r="S140" s="13">
        <v>6.5</v>
      </c>
      <c r="U140" s="13">
        <v>6.75</v>
      </c>
      <c r="W140" s="9">
        <f t="shared" si="19"/>
        <v>7</v>
      </c>
      <c r="Y140" s="9">
        <f t="shared" si="20"/>
        <v>6.72</v>
      </c>
    </row>
    <row r="141" spans="1:39">
      <c r="C141" s="4">
        <v>8</v>
      </c>
      <c r="D141" s="96" t="s">
        <v>164</v>
      </c>
      <c r="E141" s="60">
        <v>2.7</v>
      </c>
      <c r="G141" s="75">
        <f t="shared" si="17"/>
        <v>0.5</v>
      </c>
      <c r="I141" s="7" t="s">
        <v>161</v>
      </c>
      <c r="K141" s="56">
        <f t="shared" si="18"/>
        <v>0.2</v>
      </c>
      <c r="M141" s="13">
        <v>7</v>
      </c>
      <c r="O141" s="13">
        <v>6.25</v>
      </c>
      <c r="Q141" s="13">
        <v>6.75</v>
      </c>
      <c r="S141" s="13">
        <v>6.75</v>
      </c>
      <c r="U141" s="13">
        <v>7</v>
      </c>
      <c r="W141" s="9">
        <f t="shared" si="19"/>
        <v>6.833333333333333</v>
      </c>
      <c r="Y141" s="9">
        <f t="shared" si="20"/>
        <v>0.68330000000000002</v>
      </c>
    </row>
    <row r="142" spans="1:39">
      <c r="C142" s="4">
        <v>9</v>
      </c>
      <c r="D142" s="96" t="s">
        <v>164</v>
      </c>
      <c r="E142" s="60">
        <v>0.6</v>
      </c>
      <c r="G142" s="75">
        <f t="shared" si="17"/>
        <v>0.6</v>
      </c>
      <c r="I142" s="7" t="s">
        <v>22</v>
      </c>
      <c r="K142" s="56">
        <f t="shared" si="18"/>
        <v>0.2</v>
      </c>
      <c r="M142" s="13">
        <v>7</v>
      </c>
      <c r="O142" s="13">
        <v>6.25</v>
      </c>
      <c r="Q142" s="13">
        <v>6.75</v>
      </c>
      <c r="S142" s="13">
        <v>6.75</v>
      </c>
      <c r="U142" s="13">
        <v>6.75</v>
      </c>
      <c r="W142" s="9">
        <f t="shared" si="19"/>
        <v>6.75</v>
      </c>
      <c r="Y142" s="9">
        <f t="shared" si="20"/>
        <v>0.81</v>
      </c>
    </row>
    <row r="143" spans="1:39">
      <c r="U143" s="11" t="s">
        <v>23</v>
      </c>
      <c r="Y143" s="9">
        <f>SUM(Y134:Y142)</f>
        <v>67.75500000000001</v>
      </c>
    </row>
    <row r="144" spans="1:39">
      <c r="C144" s="8" t="s">
        <v>163</v>
      </c>
      <c r="U144" s="11" t="s">
        <v>24</v>
      </c>
      <c r="Y144" s="27">
        <v>8.3000000000000007</v>
      </c>
    </row>
    <row r="145" spans="1:39">
      <c r="U145" s="11" t="s">
        <v>25</v>
      </c>
      <c r="Y145" s="27"/>
    </row>
    <row r="146" spans="1:39">
      <c r="U146" s="11" t="s">
        <v>26</v>
      </c>
      <c r="Y146" s="9">
        <f>Y143-Y144-Y145</f>
        <v>59.455000000000013</v>
      </c>
    </row>
    <row r="147" spans="1:39" ht="15">
      <c r="D147" s="12" t="s">
        <v>27</v>
      </c>
      <c r="U147" s="11"/>
    </row>
    <row r="148" spans="1:39">
      <c r="D148" s="2" t="s">
        <v>28</v>
      </c>
      <c r="K148" s="62">
        <f>$H$8</f>
        <v>1.5</v>
      </c>
      <c r="M148" s="13">
        <v>8</v>
      </c>
      <c r="O148" s="13">
        <v>7.75</v>
      </c>
      <c r="Q148" s="13">
        <v>8</v>
      </c>
      <c r="S148" s="13">
        <v>8</v>
      </c>
      <c r="U148" s="13">
        <v>7.5</v>
      </c>
      <c r="Y148" s="9">
        <f>ROUND((SUM(M148:U148)-MAX(M148:U148)-MIN(M148:U148))*K148,4)</f>
        <v>35.625</v>
      </c>
    </row>
    <row r="149" spans="1:39">
      <c r="D149" s="2" t="s">
        <v>29</v>
      </c>
      <c r="K149" s="62">
        <f>$K$8</f>
        <v>1.3</v>
      </c>
      <c r="M149" s="13">
        <v>7.5</v>
      </c>
      <c r="O149" s="13">
        <v>7.75</v>
      </c>
      <c r="Q149" s="13">
        <v>7.75</v>
      </c>
      <c r="S149" s="13">
        <v>7.75</v>
      </c>
      <c r="U149" s="13">
        <v>7.75</v>
      </c>
      <c r="Y149" s="9">
        <f>ROUND((SUM(M149:U149)-MAX(M149:U149)-MIN(M149:U149))*K149,4)</f>
        <v>30.225000000000001</v>
      </c>
    </row>
    <row r="150" spans="1:39">
      <c r="D150" s="2" t="s">
        <v>30</v>
      </c>
      <c r="K150" s="62">
        <f>$N$8</f>
        <v>1.5</v>
      </c>
      <c r="M150" s="13">
        <v>7.75</v>
      </c>
      <c r="O150" s="13">
        <v>7.5</v>
      </c>
      <c r="Q150" s="13">
        <v>7.75</v>
      </c>
      <c r="S150" s="13">
        <v>7.75</v>
      </c>
      <c r="U150" s="13">
        <v>7.5</v>
      </c>
      <c r="Y150" s="9">
        <f>ROUND((SUM(M150:U150)-MAX(M150:U150)-MIN(M150:U150))*K150,4)</f>
        <v>34.5</v>
      </c>
    </row>
    <row r="151" spans="1:39">
      <c r="U151" s="11" t="s">
        <v>31</v>
      </c>
      <c r="Y151" s="9">
        <f>SUM(Y148:Y150)</f>
        <v>100.35</v>
      </c>
    </row>
    <row r="152" spans="1:39">
      <c r="U152" s="11" t="s">
        <v>32</v>
      </c>
      <c r="Y152" s="27"/>
    </row>
    <row r="153" spans="1:39">
      <c r="U153" s="11" t="s">
        <v>33</v>
      </c>
      <c r="Y153" s="9">
        <f>Y151-Y152</f>
        <v>100.35</v>
      </c>
    </row>
    <row r="155" spans="1:39">
      <c r="C155" s="3" t="s">
        <v>4</v>
      </c>
      <c r="D155" s="99" t="s">
        <v>255</v>
      </c>
      <c r="E155" s="58"/>
    </row>
    <row r="156" spans="1:39">
      <c r="C156" s="3" t="s">
        <v>5</v>
      </c>
      <c r="D156" s="100" t="s">
        <v>256</v>
      </c>
      <c r="E156" s="58"/>
    </row>
    <row r="157" spans="1:39">
      <c r="C157" s="3" t="s">
        <v>6</v>
      </c>
      <c r="D157" s="100" t="s">
        <v>257</v>
      </c>
      <c r="E157" s="58"/>
    </row>
    <row r="158" spans="1:39">
      <c r="C158" s="3" t="s">
        <v>7</v>
      </c>
      <c r="D158" s="40" t="s">
        <v>241</v>
      </c>
      <c r="E158" s="58"/>
      <c r="AB158" s="42" t="s">
        <v>104</v>
      </c>
      <c r="AE158" s="2" t="s">
        <v>47</v>
      </c>
    </row>
    <row r="159" spans="1:39" ht="6.75" customHeight="1">
      <c r="C159" s="4"/>
      <c r="D159" s="40"/>
      <c r="E159" s="58"/>
      <c r="AB159" s="42"/>
    </row>
    <row r="160" spans="1:39" ht="15">
      <c r="A160" s="2" t="s">
        <v>20</v>
      </c>
      <c r="B160" s="14" t="s">
        <v>34</v>
      </c>
      <c r="C160" s="3" t="s">
        <v>8</v>
      </c>
      <c r="D160" s="2" t="s">
        <v>1</v>
      </c>
      <c r="E160" s="57">
        <f>SUM(E163:E171)</f>
        <v>20.799999999999997</v>
      </c>
      <c r="M160" s="6" t="s">
        <v>12</v>
      </c>
      <c r="O160" s="6" t="s">
        <v>13</v>
      </c>
      <c r="Q160" s="6" t="s">
        <v>14</v>
      </c>
      <c r="S160" s="6" t="s">
        <v>15</v>
      </c>
      <c r="U160" s="6" t="s">
        <v>16</v>
      </c>
      <c r="W160" s="9" t="s">
        <v>17</v>
      </c>
      <c r="Y160" s="9" t="s">
        <v>18</v>
      </c>
      <c r="AB160" s="42" t="s">
        <v>105</v>
      </c>
      <c r="AC160" s="2" t="s">
        <v>19</v>
      </c>
      <c r="AE160" s="3" t="s">
        <v>4</v>
      </c>
      <c r="AF160" s="3" t="s">
        <v>5</v>
      </c>
      <c r="AG160" s="3" t="s">
        <v>6</v>
      </c>
      <c r="AH160" s="3" t="s">
        <v>7</v>
      </c>
      <c r="AI160" s="5" t="s">
        <v>2</v>
      </c>
      <c r="AJ160" s="12" t="s">
        <v>27</v>
      </c>
      <c r="AK160" s="12" t="s">
        <v>109</v>
      </c>
      <c r="AL160" s="2" t="s">
        <v>105</v>
      </c>
      <c r="AM160" s="2" t="s">
        <v>19</v>
      </c>
    </row>
    <row r="161" spans="1:39" ht="6.75" customHeight="1">
      <c r="C161" s="4"/>
      <c r="D161" s="40"/>
      <c r="E161" s="58"/>
    </row>
    <row r="162" spans="1:39" ht="15">
      <c r="D162" s="41" t="s">
        <v>107</v>
      </c>
      <c r="E162" s="59" t="s">
        <v>9</v>
      </c>
      <c r="G162" s="2" t="s">
        <v>21</v>
      </c>
      <c r="I162" s="2" t="s">
        <v>10</v>
      </c>
      <c r="K162" s="2" t="s">
        <v>11</v>
      </c>
    </row>
    <row r="163" spans="1:39">
      <c r="A163" s="2">
        <f>RANK(AC163,$AC$18:$AC$600,0)</f>
        <v>16</v>
      </c>
      <c r="B163" s="10">
        <v>6</v>
      </c>
      <c r="C163" s="4">
        <v>1</v>
      </c>
      <c r="D163" s="96" t="s">
        <v>164</v>
      </c>
      <c r="E163" s="60">
        <v>0.75</v>
      </c>
      <c r="G163" s="75">
        <f>_xlfn.IFS(I163="　",E163,IF(COUNTIF(D163,"*Acro-Pair*")&gt;=1,AND(I163="*")),"0.100",I163="*",0.5,I163="**",0)</f>
        <v>0.75</v>
      </c>
      <c r="I163" s="7" t="s">
        <v>22</v>
      </c>
      <c r="K163" s="56">
        <f>IF(D163="","",IF(COUNTIF(D163,"*HYB*")&gt;=1,$D$8,IF(AND(COUNTIF(D163,"*Acro*")&gt;=1),$E$8,IF(AND(COUNTIF(D163,"*TRE*")&gt;=1),$G$8))))</f>
        <v>0.2</v>
      </c>
      <c r="M163" s="13">
        <v>5.5</v>
      </c>
      <c r="O163" s="13">
        <v>5</v>
      </c>
      <c r="Q163" s="13">
        <v>6.5</v>
      </c>
      <c r="S163" s="13">
        <v>8</v>
      </c>
      <c r="U163" s="13">
        <v>6.5</v>
      </c>
      <c r="W163" s="9">
        <f>(SUM(M163:U163)-MAX(M163:U163)-MIN(M163:U163))/3</f>
        <v>6.166666666666667</v>
      </c>
      <c r="Y163" s="9">
        <f>IF(D163="","",ROUND(W163*G163*K163,4))</f>
        <v>0.92500000000000004</v>
      </c>
      <c r="AB163" s="55">
        <v>2</v>
      </c>
      <c r="AC163" s="64">
        <f>Y175+Y182-AB163-AB164</f>
        <v>148.67000000000002</v>
      </c>
      <c r="AE163" s="37" t="str">
        <f>D155</f>
        <v>道頓堀アーティスティックスイミングクラブ</v>
      </c>
      <c r="AF163" s="37" t="str">
        <f>D156</f>
        <v>道頓堀アーティスティックスイミングクラブA</v>
      </c>
      <c r="AG163" s="37" t="str">
        <f>D157</f>
        <v>松藤まりな/山藤やくみ</v>
      </c>
      <c r="AH163" s="37" t="str">
        <f>D158</f>
        <v>来藤らんらん/若藤わかな</v>
      </c>
      <c r="AI163" s="66">
        <f>Y175</f>
        <v>57.844999999999999</v>
      </c>
      <c r="AJ163" s="39">
        <f>Y182</f>
        <v>92.825000000000003</v>
      </c>
      <c r="AK163" s="65">
        <f>AB163</f>
        <v>2</v>
      </c>
      <c r="AL163" s="65">
        <f>AB164</f>
        <v>0</v>
      </c>
      <c r="AM163" s="64">
        <f>AC163</f>
        <v>148.67000000000002</v>
      </c>
    </row>
    <row r="164" spans="1:39">
      <c r="C164" s="4">
        <v>2</v>
      </c>
      <c r="D164" s="96" t="s">
        <v>164</v>
      </c>
      <c r="E164" s="60">
        <v>5.95</v>
      </c>
      <c r="G164" s="75">
        <f t="shared" ref="G164:G171" si="21">_xlfn.IFS(I164="　",E164,IF(COUNTIF(D164,"*Acro-Pair*")&gt;=1,AND(I164="*")),"0.100",I164="*",0.5,I164="**",0)</f>
        <v>5.95</v>
      </c>
      <c r="I164" s="7" t="s">
        <v>22</v>
      </c>
      <c r="K164" s="56">
        <f t="shared" ref="K164:K171" si="22">IF(D164="","",IF(COUNTIF(D164,"*HYB*")&gt;=1,$D$8,IF(AND(COUNTIF(D164,"*Acro*")&gt;=1),$E$8,IF(AND(COUNTIF(D164,"*TRE*")&gt;=1),$G$8))))</f>
        <v>0.2</v>
      </c>
      <c r="M164" s="13">
        <v>7.25</v>
      </c>
      <c r="O164" s="13">
        <v>6.5</v>
      </c>
      <c r="Q164" s="13">
        <v>7</v>
      </c>
      <c r="S164" s="13">
        <v>7</v>
      </c>
      <c r="U164" s="13">
        <v>6</v>
      </c>
      <c r="W164" s="9">
        <f t="shared" ref="W164:W171" si="23">(SUM(M164:U164)-MAX(M164:U164)-MIN(M164:U164))/3</f>
        <v>6.833333333333333</v>
      </c>
      <c r="Y164" s="9">
        <f t="shared" ref="Y164:Y171" si="24">IF(D164="","",ROUND(W164*G164*K164,4))</f>
        <v>8.1317000000000004</v>
      </c>
      <c r="AB164" s="55"/>
    </row>
    <row r="165" spans="1:39">
      <c r="C165" s="4">
        <v>3</v>
      </c>
      <c r="D165" s="96" t="s">
        <v>206</v>
      </c>
      <c r="E165" s="60">
        <v>2.1</v>
      </c>
      <c r="G165" s="75">
        <f t="shared" si="21"/>
        <v>2.1</v>
      </c>
      <c r="I165" s="7" t="s">
        <v>22</v>
      </c>
      <c r="K165" s="56">
        <f t="shared" si="22"/>
        <v>1</v>
      </c>
      <c r="M165" s="13">
        <v>7</v>
      </c>
      <c r="O165" s="13">
        <v>5</v>
      </c>
      <c r="Q165" s="13">
        <v>6.25</v>
      </c>
      <c r="S165" s="13">
        <v>7</v>
      </c>
      <c r="U165" s="13">
        <v>7.25</v>
      </c>
      <c r="W165" s="9">
        <f t="shared" si="23"/>
        <v>6.75</v>
      </c>
      <c r="Y165" s="9">
        <f t="shared" si="24"/>
        <v>14.175000000000001</v>
      </c>
    </row>
    <row r="166" spans="1:39">
      <c r="C166" s="4">
        <v>4</v>
      </c>
      <c r="D166" s="96" t="s">
        <v>207</v>
      </c>
      <c r="E166" s="60">
        <v>2.1</v>
      </c>
      <c r="G166" s="75">
        <f t="shared" si="21"/>
        <v>2.1</v>
      </c>
      <c r="I166" s="7" t="s">
        <v>22</v>
      </c>
      <c r="K166" s="56">
        <f t="shared" si="22"/>
        <v>0.8</v>
      </c>
      <c r="M166" s="13">
        <v>6</v>
      </c>
      <c r="O166" s="13">
        <v>6</v>
      </c>
      <c r="Q166" s="13">
        <v>6</v>
      </c>
      <c r="S166" s="13">
        <v>6.5</v>
      </c>
      <c r="U166" s="13">
        <v>6.75</v>
      </c>
      <c r="W166" s="9">
        <f t="shared" si="23"/>
        <v>6.166666666666667</v>
      </c>
      <c r="Y166" s="9">
        <f t="shared" si="24"/>
        <v>10.36</v>
      </c>
    </row>
    <row r="167" spans="1:39">
      <c r="C167" s="4">
        <v>5</v>
      </c>
      <c r="D167" s="96" t="s">
        <v>206</v>
      </c>
      <c r="E167" s="60">
        <v>2.1</v>
      </c>
      <c r="G167" s="75">
        <f t="shared" si="21"/>
        <v>2.1</v>
      </c>
      <c r="I167" s="7" t="s">
        <v>22</v>
      </c>
      <c r="K167" s="56">
        <f t="shared" si="22"/>
        <v>1</v>
      </c>
      <c r="M167" s="13">
        <v>6</v>
      </c>
      <c r="O167" s="13">
        <v>6</v>
      </c>
      <c r="Q167" s="13">
        <v>5.75</v>
      </c>
      <c r="S167" s="13">
        <v>5.75</v>
      </c>
      <c r="U167" s="13">
        <v>6.75</v>
      </c>
      <c r="W167" s="9">
        <f t="shared" si="23"/>
        <v>5.916666666666667</v>
      </c>
      <c r="Y167" s="9">
        <f t="shared" si="24"/>
        <v>12.425000000000001</v>
      </c>
    </row>
    <row r="168" spans="1:39">
      <c r="C168" s="4">
        <v>6</v>
      </c>
      <c r="D168" s="96" t="s">
        <v>208</v>
      </c>
      <c r="E168" s="60">
        <v>2.7</v>
      </c>
      <c r="G168" s="75">
        <f t="shared" si="21"/>
        <v>2.7</v>
      </c>
      <c r="I168" s="7" t="s">
        <v>22</v>
      </c>
      <c r="K168" s="56">
        <f t="shared" si="22"/>
        <v>1</v>
      </c>
      <c r="M168" s="13">
        <v>6</v>
      </c>
      <c r="O168" s="13">
        <v>6</v>
      </c>
      <c r="Q168" s="13">
        <v>6.25</v>
      </c>
      <c r="S168" s="13">
        <v>6.5</v>
      </c>
      <c r="U168" s="13">
        <v>6.5</v>
      </c>
      <c r="W168" s="9">
        <f t="shared" si="23"/>
        <v>6.25</v>
      </c>
      <c r="Y168" s="9">
        <f t="shared" si="24"/>
        <v>16.875</v>
      </c>
    </row>
    <row r="169" spans="1:39">
      <c r="C169" s="4">
        <v>7</v>
      </c>
      <c r="D169" s="96" t="s">
        <v>283</v>
      </c>
      <c r="E169" s="60">
        <v>1.2</v>
      </c>
      <c r="G169" s="75" t="str">
        <f t="shared" si="21"/>
        <v>0.100</v>
      </c>
      <c r="I169" s="7" t="s">
        <v>161</v>
      </c>
      <c r="K169" s="56">
        <f t="shared" si="22"/>
        <v>0.8</v>
      </c>
      <c r="M169" s="13">
        <v>5.75</v>
      </c>
      <c r="O169" s="13">
        <v>5.75</v>
      </c>
      <c r="Q169" s="13">
        <v>6</v>
      </c>
      <c r="S169" s="13">
        <v>6</v>
      </c>
      <c r="U169" s="13">
        <v>6.5</v>
      </c>
      <c r="W169" s="9">
        <f t="shared" si="23"/>
        <v>5.916666666666667</v>
      </c>
      <c r="Y169" s="9">
        <f t="shared" si="24"/>
        <v>0.4733</v>
      </c>
    </row>
    <row r="170" spans="1:39">
      <c r="C170" s="4">
        <v>8</v>
      </c>
      <c r="D170" s="96" t="s">
        <v>164</v>
      </c>
      <c r="E170" s="60">
        <v>2.7</v>
      </c>
      <c r="G170" s="75">
        <f t="shared" si="21"/>
        <v>2.7</v>
      </c>
      <c r="I170" s="7" t="s">
        <v>22</v>
      </c>
      <c r="K170" s="56">
        <f t="shared" si="22"/>
        <v>0.2</v>
      </c>
      <c r="M170" s="13">
        <v>6</v>
      </c>
      <c r="O170" s="13">
        <v>5.5</v>
      </c>
      <c r="Q170" s="13">
        <v>5.75</v>
      </c>
      <c r="S170" s="13">
        <v>6.25</v>
      </c>
      <c r="U170" s="13">
        <v>6.75</v>
      </c>
      <c r="W170" s="9">
        <f t="shared" si="23"/>
        <v>6</v>
      </c>
      <c r="Y170" s="9">
        <f t="shared" si="24"/>
        <v>3.24</v>
      </c>
    </row>
    <row r="171" spans="1:39">
      <c r="C171" s="4">
        <v>9</v>
      </c>
      <c r="D171" s="96" t="s">
        <v>164</v>
      </c>
      <c r="E171" s="60">
        <v>1.2</v>
      </c>
      <c r="G171" s="75">
        <f t="shared" si="21"/>
        <v>1.2</v>
      </c>
      <c r="I171" s="7" t="s">
        <v>22</v>
      </c>
      <c r="K171" s="56">
        <f t="shared" si="22"/>
        <v>0.2</v>
      </c>
      <c r="M171" s="13">
        <v>6</v>
      </c>
      <c r="O171" s="13">
        <v>5.75</v>
      </c>
      <c r="Q171" s="13">
        <v>5.75</v>
      </c>
      <c r="S171" s="13">
        <v>6.25</v>
      </c>
      <c r="U171" s="13">
        <v>6.25</v>
      </c>
      <c r="W171" s="9">
        <f t="shared" si="23"/>
        <v>6</v>
      </c>
      <c r="Y171" s="9">
        <f t="shared" si="24"/>
        <v>1.44</v>
      </c>
    </row>
    <row r="172" spans="1:39">
      <c r="U172" s="11" t="s">
        <v>23</v>
      </c>
      <c r="Y172" s="9">
        <f>SUM(Y163:Y171)</f>
        <v>68.045000000000002</v>
      </c>
    </row>
    <row r="173" spans="1:39">
      <c r="C173" s="8" t="s">
        <v>163</v>
      </c>
      <c r="U173" s="11" t="s">
        <v>24</v>
      </c>
      <c r="Y173" s="27">
        <v>10.199999999999999</v>
      </c>
    </row>
    <row r="174" spans="1:39">
      <c r="U174" s="11" t="s">
        <v>25</v>
      </c>
      <c r="Y174" s="27"/>
    </row>
    <row r="175" spans="1:39">
      <c r="U175" s="11" t="s">
        <v>26</v>
      </c>
      <c r="Y175" s="9">
        <f>Y172-Y173-Y174</f>
        <v>57.844999999999999</v>
      </c>
    </row>
    <row r="176" spans="1:39" ht="15">
      <c r="D176" s="12" t="s">
        <v>27</v>
      </c>
      <c r="U176" s="11"/>
    </row>
    <row r="177" spans="1:39">
      <c r="D177" s="2" t="s">
        <v>28</v>
      </c>
      <c r="K177" s="62">
        <f>$H$8</f>
        <v>1.5</v>
      </c>
      <c r="M177" s="13">
        <v>7.25</v>
      </c>
      <c r="O177" s="13">
        <v>6.75</v>
      </c>
      <c r="Q177" s="13">
        <v>7.75</v>
      </c>
      <c r="S177" s="13">
        <v>7.5</v>
      </c>
      <c r="U177" s="13">
        <v>7</v>
      </c>
      <c r="Y177" s="9">
        <f>ROUND((SUM(M177:U177)-MAX(M177:U177)-MIN(M177:U177))*K177,4)</f>
        <v>32.625</v>
      </c>
    </row>
    <row r="178" spans="1:39">
      <c r="D178" s="2" t="s">
        <v>29</v>
      </c>
      <c r="K178" s="62">
        <f>$K$8</f>
        <v>1.3</v>
      </c>
      <c r="M178" s="13">
        <v>7</v>
      </c>
      <c r="O178" s="13">
        <v>6.75</v>
      </c>
      <c r="Q178" s="13">
        <v>7.5</v>
      </c>
      <c r="S178" s="13">
        <v>7.25</v>
      </c>
      <c r="U178" s="13">
        <v>7.25</v>
      </c>
      <c r="Y178" s="9">
        <f>ROUND((SUM(M178:U178)-MAX(M178:U178)-MIN(M178:U178))*K178,4)</f>
        <v>27.95</v>
      </c>
    </row>
    <row r="179" spans="1:39">
      <c r="D179" s="2" t="s">
        <v>30</v>
      </c>
      <c r="K179" s="62">
        <f>$N$8</f>
        <v>1.5</v>
      </c>
      <c r="M179" s="13">
        <v>7.25</v>
      </c>
      <c r="O179" s="13">
        <v>7.25</v>
      </c>
      <c r="Q179" s="13">
        <v>7.5</v>
      </c>
      <c r="S179" s="13">
        <v>7</v>
      </c>
      <c r="U179" s="13">
        <v>7</v>
      </c>
      <c r="Y179" s="9">
        <f>ROUND((SUM(M179:U179)-MAX(M179:U179)-MIN(M179:U179))*K179,4)</f>
        <v>32.25</v>
      </c>
    </row>
    <row r="180" spans="1:39">
      <c r="U180" s="11" t="s">
        <v>31</v>
      </c>
      <c r="Y180" s="9">
        <f>SUM(Y177:Y179)</f>
        <v>92.825000000000003</v>
      </c>
    </row>
    <row r="181" spans="1:39">
      <c r="U181" s="11" t="s">
        <v>32</v>
      </c>
      <c r="Y181" s="27"/>
    </row>
    <row r="182" spans="1:39">
      <c r="U182" s="11" t="s">
        <v>33</v>
      </c>
      <c r="Y182" s="9">
        <f>Y180-Y181</f>
        <v>92.825000000000003</v>
      </c>
    </row>
    <row r="184" spans="1:39">
      <c r="C184" s="3" t="s">
        <v>4</v>
      </c>
      <c r="D184" s="99" t="s">
        <v>252</v>
      </c>
      <c r="E184" s="58"/>
    </row>
    <row r="185" spans="1:39">
      <c r="C185" s="3" t="s">
        <v>5</v>
      </c>
      <c r="D185" s="100" t="s">
        <v>253</v>
      </c>
      <c r="E185" s="58"/>
    </row>
    <row r="186" spans="1:39">
      <c r="C186" s="3" t="s">
        <v>6</v>
      </c>
      <c r="D186" s="100" t="s">
        <v>254</v>
      </c>
      <c r="E186" s="58"/>
    </row>
    <row r="187" spans="1:39">
      <c r="C187" s="3" t="s">
        <v>7</v>
      </c>
      <c r="D187" s="40" t="s">
        <v>241</v>
      </c>
      <c r="E187" s="58"/>
      <c r="AB187" s="42" t="s">
        <v>104</v>
      </c>
      <c r="AE187" s="2" t="s">
        <v>47</v>
      </c>
    </row>
    <row r="188" spans="1:39" ht="6.75" customHeight="1">
      <c r="C188" s="4"/>
      <c r="D188" s="40"/>
      <c r="E188" s="58"/>
      <c r="AB188" s="42"/>
    </row>
    <row r="189" spans="1:39" ht="15">
      <c r="A189" s="2" t="s">
        <v>20</v>
      </c>
      <c r="B189" s="14" t="s">
        <v>34</v>
      </c>
      <c r="C189" s="3" t="s">
        <v>8</v>
      </c>
      <c r="D189" s="2" t="s">
        <v>1</v>
      </c>
      <c r="E189" s="57">
        <f>SUM(E192:E200)</f>
        <v>18.799999999999997</v>
      </c>
      <c r="M189" s="6" t="s">
        <v>12</v>
      </c>
      <c r="O189" s="6" t="s">
        <v>13</v>
      </c>
      <c r="Q189" s="6" t="s">
        <v>14</v>
      </c>
      <c r="S189" s="6" t="s">
        <v>15</v>
      </c>
      <c r="U189" s="6" t="s">
        <v>16</v>
      </c>
      <c r="W189" s="9" t="s">
        <v>17</v>
      </c>
      <c r="Y189" s="9" t="s">
        <v>18</v>
      </c>
      <c r="AB189" s="42" t="s">
        <v>105</v>
      </c>
      <c r="AC189" s="2" t="s">
        <v>19</v>
      </c>
      <c r="AE189" s="3" t="s">
        <v>4</v>
      </c>
      <c r="AF189" s="3" t="s">
        <v>5</v>
      </c>
      <c r="AG189" s="3" t="s">
        <v>6</v>
      </c>
      <c r="AH189" s="3" t="s">
        <v>7</v>
      </c>
      <c r="AI189" s="5" t="s">
        <v>2</v>
      </c>
      <c r="AJ189" s="12" t="s">
        <v>27</v>
      </c>
      <c r="AK189" s="12" t="s">
        <v>109</v>
      </c>
      <c r="AL189" s="2" t="s">
        <v>105</v>
      </c>
      <c r="AM189" s="2" t="s">
        <v>19</v>
      </c>
    </row>
    <row r="190" spans="1:39" ht="6.75" customHeight="1">
      <c r="C190" s="4"/>
      <c r="D190" s="40"/>
      <c r="E190" s="58"/>
    </row>
    <row r="191" spans="1:39" ht="15">
      <c r="D191" s="41" t="s">
        <v>107</v>
      </c>
      <c r="E191" s="59" t="s">
        <v>9</v>
      </c>
      <c r="G191" s="2" t="s">
        <v>21</v>
      </c>
      <c r="I191" s="2" t="s">
        <v>10</v>
      </c>
      <c r="K191" s="2" t="s">
        <v>11</v>
      </c>
    </row>
    <row r="192" spans="1:39">
      <c r="A192" s="2">
        <f>RANK(AC192,$AC$18:$AC$600,0)</f>
        <v>11</v>
      </c>
      <c r="B192" s="10">
        <v>7</v>
      </c>
      <c r="C192" s="4">
        <v>1</v>
      </c>
      <c r="D192" s="96" t="s">
        <v>164</v>
      </c>
      <c r="E192" s="60">
        <v>0.75</v>
      </c>
      <c r="G192" s="75">
        <f>_xlfn.IFS(I192="　",E192,IF(COUNTIF(D192,"*Acro-Pair*")&gt;=1,AND(I192="*")),"0.100",I192="*",0.5,I192="**",0)</f>
        <v>0.75</v>
      </c>
      <c r="I192" s="7" t="s">
        <v>22</v>
      </c>
      <c r="K192" s="56">
        <f>IF(D192="","",IF(COUNTIF(D192,"*HYB*")&gt;=1,$D$8,IF(AND(COUNTIF(D192,"*Acro*")&gt;=1),$E$8,IF(AND(COUNTIF(D192,"*TRE*")&gt;=1),$G$8))))</f>
        <v>0.2</v>
      </c>
      <c r="M192" s="13">
        <v>9</v>
      </c>
      <c r="O192" s="13">
        <v>9.5</v>
      </c>
      <c r="Q192" s="13">
        <v>9</v>
      </c>
      <c r="S192" s="13">
        <v>8</v>
      </c>
      <c r="U192" s="13">
        <v>7.5</v>
      </c>
      <c r="W192" s="9">
        <f>(SUM(M192:U192)-MAX(M192:U192)-MIN(M192:U192))/3</f>
        <v>8.6666666666666661</v>
      </c>
      <c r="Y192" s="9">
        <f>IF(D192="","",ROUND(W192*G192*K192,4))</f>
        <v>1.3</v>
      </c>
      <c r="AB192" s="55">
        <v>2</v>
      </c>
      <c r="AC192" s="64">
        <f>Y204+Y211-AB192-AB193</f>
        <v>161.59910000000002</v>
      </c>
      <c r="AE192" s="37" t="str">
        <f>D184</f>
        <v>信州アーティスティックスイミングクラブ</v>
      </c>
      <c r="AF192" s="37" t="str">
        <f>D185</f>
        <v>信州アーティスティックスイミングクラブA</v>
      </c>
      <c r="AG192" s="37" t="str">
        <f>D186</f>
        <v>あいり/かみら</v>
      </c>
      <c r="AH192" s="37" t="str">
        <f>D187</f>
        <v>来藤らんらん/若藤わかな</v>
      </c>
      <c r="AI192" s="66">
        <f>Y204</f>
        <v>65.724100000000007</v>
      </c>
      <c r="AJ192" s="39">
        <f>Y211</f>
        <v>97.875</v>
      </c>
      <c r="AK192" s="65">
        <f>AB192</f>
        <v>2</v>
      </c>
      <c r="AL192" s="65">
        <f>AB193</f>
        <v>0</v>
      </c>
      <c r="AM192" s="64">
        <f>AC192</f>
        <v>161.59910000000002</v>
      </c>
    </row>
    <row r="193" spans="3:28">
      <c r="C193" s="4">
        <v>2</v>
      </c>
      <c r="D193" s="96" t="s">
        <v>164</v>
      </c>
      <c r="E193" s="60">
        <v>5.95</v>
      </c>
      <c r="G193" s="75">
        <f t="shared" ref="G193:G200" si="25">_xlfn.IFS(I193="　",E193,IF(COUNTIF(D193,"*Acro-Pair*")&gt;=1,AND(I193="*")),"0.100",I193="*",0.5,I193="**",0)</f>
        <v>5.95</v>
      </c>
      <c r="I193" s="7" t="s">
        <v>22</v>
      </c>
      <c r="K193" s="56">
        <f t="shared" ref="K193:K200" si="26">IF(D193="","",IF(COUNTIF(D193,"*HYB*")&gt;=1,$D$8,IF(AND(COUNTIF(D193,"*Acro*")&gt;=1),$E$8,IF(AND(COUNTIF(D193,"*TRE*")&gt;=1),$G$8))))</f>
        <v>0.2</v>
      </c>
      <c r="M193" s="13">
        <v>7.25</v>
      </c>
      <c r="O193" s="13">
        <v>6.25</v>
      </c>
      <c r="Q193" s="13">
        <v>6.5</v>
      </c>
      <c r="S193" s="13">
        <v>7.25</v>
      </c>
      <c r="U193" s="13">
        <v>7</v>
      </c>
      <c r="W193" s="9">
        <f t="shared" ref="W193:W200" si="27">(SUM(M193:U193)-MAX(M193:U193)-MIN(M193:U193))/3</f>
        <v>6.916666666666667</v>
      </c>
      <c r="Y193" s="9">
        <f t="shared" ref="Y193:Y200" si="28">IF(D193="","",ROUND(W193*G193*K193,4))</f>
        <v>8.2308000000000003</v>
      </c>
      <c r="AB193" s="55"/>
    </row>
    <row r="194" spans="3:28">
      <c r="C194" s="4">
        <v>3</v>
      </c>
      <c r="D194" s="96" t="s">
        <v>206</v>
      </c>
      <c r="E194" s="60">
        <v>2.1</v>
      </c>
      <c r="G194" s="75">
        <f t="shared" si="25"/>
        <v>2.1</v>
      </c>
      <c r="I194" s="7" t="s">
        <v>22</v>
      </c>
      <c r="K194" s="56">
        <f t="shared" si="26"/>
        <v>1</v>
      </c>
      <c r="M194" s="13">
        <v>8.75</v>
      </c>
      <c r="O194" s="13">
        <v>8.25</v>
      </c>
      <c r="Q194" s="13">
        <v>8.5</v>
      </c>
      <c r="S194" s="13">
        <v>7</v>
      </c>
      <c r="U194" s="13">
        <v>7.5</v>
      </c>
      <c r="W194" s="9">
        <f t="shared" si="27"/>
        <v>8.0833333333333339</v>
      </c>
      <c r="Y194" s="9">
        <f t="shared" si="28"/>
        <v>16.975000000000001</v>
      </c>
    </row>
    <row r="195" spans="3:28">
      <c r="C195" s="4">
        <v>4</v>
      </c>
      <c r="D195" s="96" t="s">
        <v>207</v>
      </c>
      <c r="E195" s="60">
        <v>0.6</v>
      </c>
      <c r="G195" s="75">
        <f t="shared" si="25"/>
        <v>0.6</v>
      </c>
      <c r="I195" s="7" t="s">
        <v>22</v>
      </c>
      <c r="K195" s="56">
        <f t="shared" si="26"/>
        <v>0.8</v>
      </c>
      <c r="M195" s="13">
        <v>6.75</v>
      </c>
      <c r="O195" s="13">
        <v>6</v>
      </c>
      <c r="Q195" s="13">
        <v>6.25</v>
      </c>
      <c r="S195" s="13">
        <v>7.25</v>
      </c>
      <c r="U195" s="13">
        <v>7</v>
      </c>
      <c r="W195" s="9">
        <f t="shared" si="27"/>
        <v>6.666666666666667</v>
      </c>
      <c r="Y195" s="9">
        <f t="shared" si="28"/>
        <v>3.2</v>
      </c>
    </row>
    <row r="196" spans="3:28">
      <c r="C196" s="4">
        <v>5</v>
      </c>
      <c r="D196" s="96" t="s">
        <v>206</v>
      </c>
      <c r="E196" s="60">
        <v>2.1</v>
      </c>
      <c r="G196" s="75">
        <f t="shared" si="25"/>
        <v>2.1</v>
      </c>
      <c r="I196" s="7" t="s">
        <v>22</v>
      </c>
      <c r="K196" s="56">
        <f t="shared" si="26"/>
        <v>1</v>
      </c>
      <c r="M196" s="13">
        <v>8.5</v>
      </c>
      <c r="O196" s="13">
        <v>6.5</v>
      </c>
      <c r="Q196" s="13">
        <v>7.75</v>
      </c>
      <c r="S196" s="13">
        <v>6.5</v>
      </c>
      <c r="U196" s="13">
        <v>6.25</v>
      </c>
      <c r="W196" s="9">
        <f t="shared" si="27"/>
        <v>6.916666666666667</v>
      </c>
      <c r="Y196" s="9">
        <f t="shared" si="28"/>
        <v>14.525</v>
      </c>
    </row>
    <row r="197" spans="3:28">
      <c r="C197" s="4">
        <v>6</v>
      </c>
      <c r="D197" s="96" t="s">
        <v>208</v>
      </c>
      <c r="E197" s="60">
        <v>2.7</v>
      </c>
      <c r="G197" s="75">
        <f t="shared" si="25"/>
        <v>2.7</v>
      </c>
      <c r="I197" s="7" t="s">
        <v>22</v>
      </c>
      <c r="K197" s="56">
        <f t="shared" si="26"/>
        <v>1</v>
      </c>
      <c r="M197" s="13">
        <v>6.75</v>
      </c>
      <c r="O197" s="13">
        <v>6</v>
      </c>
      <c r="Q197" s="13">
        <v>6.75</v>
      </c>
      <c r="S197" s="13">
        <v>7</v>
      </c>
      <c r="U197" s="13">
        <v>6.75</v>
      </c>
      <c r="W197" s="9">
        <f t="shared" si="27"/>
        <v>6.75</v>
      </c>
      <c r="Y197" s="9">
        <f t="shared" si="28"/>
        <v>18.225000000000001</v>
      </c>
    </row>
    <row r="198" spans="3:28">
      <c r="C198" s="4">
        <v>7</v>
      </c>
      <c r="D198" s="96" t="s">
        <v>283</v>
      </c>
      <c r="E198" s="60">
        <v>1.2</v>
      </c>
      <c r="G198" s="75">
        <f t="shared" si="25"/>
        <v>1.2</v>
      </c>
      <c r="I198" s="7" t="s">
        <v>22</v>
      </c>
      <c r="K198" s="56">
        <f t="shared" si="26"/>
        <v>0.8</v>
      </c>
      <c r="M198" s="13">
        <v>7</v>
      </c>
      <c r="O198" s="13">
        <v>6.5</v>
      </c>
      <c r="Q198" s="13">
        <v>6.75</v>
      </c>
      <c r="S198" s="13">
        <v>7</v>
      </c>
      <c r="U198" s="13">
        <v>6.75</v>
      </c>
      <c r="W198" s="9">
        <f t="shared" si="27"/>
        <v>6.833333333333333</v>
      </c>
      <c r="Y198" s="9">
        <f t="shared" si="28"/>
        <v>6.56</v>
      </c>
    </row>
    <row r="199" spans="3:28">
      <c r="C199" s="4">
        <v>8</v>
      </c>
      <c r="D199" s="96" t="s">
        <v>164</v>
      </c>
      <c r="E199" s="60">
        <v>2.7</v>
      </c>
      <c r="G199" s="75">
        <f t="shared" si="25"/>
        <v>2.7</v>
      </c>
      <c r="I199" s="7" t="s">
        <v>22</v>
      </c>
      <c r="K199" s="56">
        <f t="shared" si="26"/>
        <v>0.2</v>
      </c>
      <c r="M199" s="13">
        <v>7</v>
      </c>
      <c r="O199" s="13">
        <v>6</v>
      </c>
      <c r="Q199" s="13">
        <v>6.25</v>
      </c>
      <c r="S199" s="13">
        <v>6.75</v>
      </c>
      <c r="U199" s="13">
        <v>6.5</v>
      </c>
      <c r="W199" s="9">
        <f t="shared" si="27"/>
        <v>6.5</v>
      </c>
      <c r="Y199" s="9">
        <f t="shared" si="28"/>
        <v>3.51</v>
      </c>
    </row>
    <row r="200" spans="3:28">
      <c r="C200" s="4">
        <v>9</v>
      </c>
      <c r="D200" s="96" t="s">
        <v>164</v>
      </c>
      <c r="E200" s="60">
        <v>0.7</v>
      </c>
      <c r="G200" s="75">
        <f t="shared" si="25"/>
        <v>0.7</v>
      </c>
      <c r="I200" s="7" t="s">
        <v>22</v>
      </c>
      <c r="K200" s="56">
        <f t="shared" si="26"/>
        <v>0.2</v>
      </c>
      <c r="M200" s="13">
        <v>6.75</v>
      </c>
      <c r="O200" s="13">
        <v>6</v>
      </c>
      <c r="Q200" s="13">
        <v>6</v>
      </c>
      <c r="S200" s="13">
        <v>6.75</v>
      </c>
      <c r="U200" s="13">
        <v>6.5</v>
      </c>
      <c r="W200" s="9">
        <f t="shared" si="27"/>
        <v>6.416666666666667</v>
      </c>
      <c r="Y200" s="9">
        <f t="shared" si="28"/>
        <v>0.89829999999999999</v>
      </c>
    </row>
    <row r="201" spans="3:28">
      <c r="U201" s="11" t="s">
        <v>23</v>
      </c>
      <c r="Y201" s="9">
        <f>SUM(Y192:Y200)</f>
        <v>73.42410000000001</v>
      </c>
    </row>
    <row r="202" spans="3:28">
      <c r="C202" s="8" t="s">
        <v>163</v>
      </c>
      <c r="U202" s="11" t="s">
        <v>24</v>
      </c>
      <c r="Y202" s="27">
        <v>7.7</v>
      </c>
    </row>
    <row r="203" spans="3:28">
      <c r="U203" s="11" t="s">
        <v>25</v>
      </c>
      <c r="Y203" s="27"/>
    </row>
    <row r="204" spans="3:28">
      <c r="U204" s="11" t="s">
        <v>26</v>
      </c>
      <c r="Y204" s="9">
        <f>Y201-Y202-Y203</f>
        <v>65.724100000000007</v>
      </c>
    </row>
    <row r="205" spans="3:28" ht="15">
      <c r="D205" s="12" t="s">
        <v>27</v>
      </c>
      <c r="U205" s="11"/>
    </row>
    <row r="206" spans="3:28">
      <c r="D206" s="2" t="s">
        <v>28</v>
      </c>
      <c r="K206" s="62">
        <f>$H$8</f>
        <v>1.5</v>
      </c>
      <c r="M206" s="13">
        <v>8.25</v>
      </c>
      <c r="O206" s="13">
        <v>7.25</v>
      </c>
      <c r="Q206" s="13">
        <v>7.75</v>
      </c>
      <c r="S206" s="13">
        <v>7.25</v>
      </c>
      <c r="U206" s="13">
        <v>7.75</v>
      </c>
      <c r="Y206" s="9">
        <f>ROUND((SUM(M206:U206)-MAX(M206:U206)-MIN(M206:U206))*K206,4)</f>
        <v>34.125</v>
      </c>
    </row>
    <row r="207" spans="3:28">
      <c r="D207" s="2" t="s">
        <v>29</v>
      </c>
      <c r="K207" s="62">
        <f>$K$8</f>
        <v>1.3</v>
      </c>
      <c r="M207" s="13">
        <v>7.5</v>
      </c>
      <c r="O207" s="13">
        <v>7.5</v>
      </c>
      <c r="Q207" s="13">
        <v>7.5</v>
      </c>
      <c r="S207" s="13">
        <v>6.75</v>
      </c>
      <c r="U207" s="13">
        <v>7.75</v>
      </c>
      <c r="Y207" s="9">
        <f>ROUND((SUM(M207:U207)-MAX(M207:U207)-MIN(M207:U207))*K207,4)</f>
        <v>29.25</v>
      </c>
    </row>
    <row r="208" spans="3:28">
      <c r="D208" s="2" t="s">
        <v>30</v>
      </c>
      <c r="K208" s="62">
        <f>$N$8</f>
        <v>1.5</v>
      </c>
      <c r="M208" s="13">
        <v>7.75</v>
      </c>
      <c r="O208" s="13">
        <v>7.75</v>
      </c>
      <c r="Q208" s="13">
        <v>7.5</v>
      </c>
      <c r="S208" s="13">
        <v>7</v>
      </c>
      <c r="U208" s="13">
        <v>7.75</v>
      </c>
      <c r="Y208" s="9">
        <f>ROUND((SUM(M208:U208)-MAX(M208:U208)-MIN(M208:U208))*K208,4)</f>
        <v>34.5</v>
      </c>
    </row>
    <row r="209" spans="1:39">
      <c r="U209" s="11" t="s">
        <v>31</v>
      </c>
      <c r="Y209" s="9">
        <f>SUM(Y206:Y208)</f>
        <v>97.875</v>
      </c>
    </row>
    <row r="210" spans="1:39">
      <c r="U210" s="11" t="s">
        <v>32</v>
      </c>
      <c r="Y210" s="27"/>
    </row>
    <row r="211" spans="1:39">
      <c r="U211" s="11" t="s">
        <v>33</v>
      </c>
      <c r="Y211" s="9">
        <f>Y209-Y210</f>
        <v>97.875</v>
      </c>
    </row>
    <row r="213" spans="1:39">
      <c r="C213" s="3" t="s">
        <v>4</v>
      </c>
      <c r="D213" s="99" t="s">
        <v>249</v>
      </c>
      <c r="E213" s="58"/>
    </row>
    <row r="214" spans="1:39">
      <c r="C214" s="3" t="s">
        <v>5</v>
      </c>
      <c r="D214" s="100" t="s">
        <v>250</v>
      </c>
      <c r="E214" s="58"/>
    </row>
    <row r="215" spans="1:39">
      <c r="C215" s="3" t="s">
        <v>6</v>
      </c>
      <c r="D215" s="100" t="s">
        <v>251</v>
      </c>
      <c r="E215" s="58"/>
    </row>
    <row r="216" spans="1:39">
      <c r="C216" s="3" t="s">
        <v>7</v>
      </c>
      <c r="D216" s="40" t="s">
        <v>241</v>
      </c>
      <c r="E216" s="58"/>
      <c r="AB216" s="42" t="s">
        <v>104</v>
      </c>
      <c r="AE216" s="2" t="s">
        <v>47</v>
      </c>
    </row>
    <row r="217" spans="1:39" ht="6.75" customHeight="1">
      <c r="C217" s="4"/>
      <c r="D217" s="40"/>
      <c r="E217" s="58"/>
      <c r="AB217" s="42"/>
    </row>
    <row r="218" spans="1:39" ht="15">
      <c r="A218" s="2" t="s">
        <v>20</v>
      </c>
      <c r="B218" s="14" t="s">
        <v>34</v>
      </c>
      <c r="C218" s="3" t="s">
        <v>8</v>
      </c>
      <c r="D218" s="2" t="s">
        <v>1</v>
      </c>
      <c r="E218" s="57">
        <f>SUM(E221:E229)</f>
        <v>18.799999999999997</v>
      </c>
      <c r="M218" s="6" t="s">
        <v>12</v>
      </c>
      <c r="O218" s="6" t="s">
        <v>13</v>
      </c>
      <c r="Q218" s="6" t="s">
        <v>14</v>
      </c>
      <c r="S218" s="6" t="s">
        <v>15</v>
      </c>
      <c r="U218" s="6" t="s">
        <v>16</v>
      </c>
      <c r="W218" s="9" t="s">
        <v>17</v>
      </c>
      <c r="Y218" s="9" t="s">
        <v>18</v>
      </c>
      <c r="AB218" s="42" t="s">
        <v>105</v>
      </c>
      <c r="AC218" s="2" t="s">
        <v>19</v>
      </c>
      <c r="AE218" s="3" t="s">
        <v>4</v>
      </c>
      <c r="AF218" s="3" t="s">
        <v>5</v>
      </c>
      <c r="AG218" s="3" t="s">
        <v>6</v>
      </c>
      <c r="AH218" s="3" t="s">
        <v>7</v>
      </c>
      <c r="AI218" s="5" t="s">
        <v>2</v>
      </c>
      <c r="AJ218" s="12" t="s">
        <v>27</v>
      </c>
      <c r="AK218" s="12" t="s">
        <v>109</v>
      </c>
      <c r="AL218" s="2" t="s">
        <v>105</v>
      </c>
      <c r="AM218" s="2" t="s">
        <v>19</v>
      </c>
    </row>
    <row r="219" spans="1:39" ht="6.75" customHeight="1">
      <c r="C219" s="4"/>
      <c r="D219" s="40"/>
      <c r="E219" s="58"/>
    </row>
    <row r="220" spans="1:39" ht="15">
      <c r="D220" s="41" t="s">
        <v>107</v>
      </c>
      <c r="E220" s="59" t="s">
        <v>9</v>
      </c>
      <c r="G220" s="2" t="s">
        <v>21</v>
      </c>
      <c r="I220" s="2" t="s">
        <v>10</v>
      </c>
      <c r="K220" s="2" t="s">
        <v>11</v>
      </c>
    </row>
    <row r="221" spans="1:39">
      <c r="A221" s="2">
        <f>RANK(AC221,$AC$18:$AC$600,0)</f>
        <v>14</v>
      </c>
      <c r="B221" s="10">
        <v>8</v>
      </c>
      <c r="C221" s="4">
        <v>1</v>
      </c>
      <c r="D221" s="96" t="s">
        <v>164</v>
      </c>
      <c r="E221" s="60">
        <v>0.75</v>
      </c>
      <c r="G221" s="75">
        <f>_xlfn.IFS(I221="　",E221,IF(COUNTIF(D221,"*Acro-Pair*")&gt;=1,AND(I221="*")),"0.100",I221="*",0.5,I221="**",0)</f>
        <v>0.75</v>
      </c>
      <c r="I221" s="7" t="s">
        <v>22</v>
      </c>
      <c r="K221" s="56">
        <f>IF(D221="","",IF(COUNTIF(D221,"*HYB*")&gt;=1,$D$8,IF(AND(COUNTIF(D221,"*Acro*")&gt;=1),$E$8,IF(AND(COUNTIF(D221,"*TRE*")&gt;=1),$G$8))))</f>
        <v>0.2</v>
      </c>
      <c r="M221" s="13">
        <v>9</v>
      </c>
      <c r="O221" s="13">
        <v>9.5</v>
      </c>
      <c r="Q221" s="13">
        <v>9</v>
      </c>
      <c r="S221" s="13">
        <v>8</v>
      </c>
      <c r="U221" s="13">
        <v>7.5</v>
      </c>
      <c r="W221" s="9">
        <f>(SUM(M221:U221)-MAX(M221:U221)-MIN(M221:U221))/3</f>
        <v>8.6666666666666661</v>
      </c>
      <c r="Y221" s="9">
        <f>IF(D221="","",ROUND(W221*G221*K221,4))</f>
        <v>1.3</v>
      </c>
      <c r="AB221" s="55">
        <v>1.5</v>
      </c>
      <c r="AC221" s="64">
        <f>Y233+Y240-AB221-AB222</f>
        <v>159.1266</v>
      </c>
      <c r="AE221" s="37" t="str">
        <f>D213</f>
        <v>藤枝アーティスティックスイミングクラブ</v>
      </c>
      <c r="AF221" s="37" t="str">
        <f>D214</f>
        <v>藤枝アーティスティックスイミングクラブA</v>
      </c>
      <c r="AG221" s="37" t="str">
        <f>D215</f>
        <v>さゆり/たみこ</v>
      </c>
      <c r="AH221" s="37" t="str">
        <f>D216</f>
        <v>来藤らんらん/若藤わかな</v>
      </c>
      <c r="AI221" s="66">
        <f>Y233</f>
        <v>62.751599999999996</v>
      </c>
      <c r="AJ221" s="39">
        <f>Y240</f>
        <v>97.875</v>
      </c>
      <c r="AK221" s="65">
        <f>AB221</f>
        <v>1.5</v>
      </c>
      <c r="AL221" s="65">
        <f>AB222</f>
        <v>0</v>
      </c>
      <c r="AM221" s="64">
        <f>AC221</f>
        <v>159.1266</v>
      </c>
    </row>
    <row r="222" spans="1:39">
      <c r="C222" s="4">
        <v>2</v>
      </c>
      <c r="D222" s="96" t="s">
        <v>164</v>
      </c>
      <c r="E222" s="60">
        <v>5.95</v>
      </c>
      <c r="G222" s="75">
        <f t="shared" ref="G222:G229" si="29">_xlfn.IFS(I222="　",E222,IF(COUNTIF(D222,"*Acro-Pair*")&gt;=1,AND(I222="*")),"0.100",I222="*",0.5,I222="**",0)</f>
        <v>5.95</v>
      </c>
      <c r="I222" s="7" t="s">
        <v>22</v>
      </c>
      <c r="K222" s="56">
        <f t="shared" ref="K222:K229" si="30">IF(D222="","",IF(COUNTIF(D222,"*HYB*")&gt;=1,$D$8,IF(AND(COUNTIF(D222,"*Acro*")&gt;=1),$E$8,IF(AND(COUNTIF(D222,"*TRE*")&gt;=1),$G$8))))</f>
        <v>0.2</v>
      </c>
      <c r="M222" s="13">
        <v>7.25</v>
      </c>
      <c r="O222" s="13">
        <v>7</v>
      </c>
      <c r="Q222" s="13">
        <v>8</v>
      </c>
      <c r="S222" s="13">
        <v>7.25</v>
      </c>
      <c r="U222" s="13">
        <v>7</v>
      </c>
      <c r="W222" s="9">
        <f t="shared" ref="W222:W229" si="31">(SUM(M222:U222)-MAX(M222:U222)-MIN(M222:U222))/3</f>
        <v>7.166666666666667</v>
      </c>
      <c r="Y222" s="9">
        <f t="shared" ref="Y222:Y229" si="32">IF(D222="","",ROUND(W222*G222*K222,4))</f>
        <v>8.5282999999999998</v>
      </c>
      <c r="AB222" s="55"/>
    </row>
    <row r="223" spans="1:39">
      <c r="C223" s="4">
        <v>3</v>
      </c>
      <c r="D223" s="96" t="s">
        <v>206</v>
      </c>
      <c r="E223" s="60">
        <v>2.1</v>
      </c>
      <c r="G223" s="75">
        <f t="shared" si="29"/>
        <v>2.1</v>
      </c>
      <c r="I223" s="7" t="s">
        <v>22</v>
      </c>
      <c r="K223" s="56">
        <f t="shared" si="30"/>
        <v>1</v>
      </c>
      <c r="M223" s="13">
        <v>8.75</v>
      </c>
      <c r="O223" s="13">
        <v>9</v>
      </c>
      <c r="Q223" s="13">
        <v>8.5</v>
      </c>
      <c r="S223" s="13">
        <v>7</v>
      </c>
      <c r="U223" s="13">
        <v>7.5</v>
      </c>
      <c r="W223" s="9">
        <f t="shared" si="31"/>
        <v>8.25</v>
      </c>
      <c r="Y223" s="9">
        <f t="shared" si="32"/>
        <v>17.324999999999999</v>
      </c>
    </row>
    <row r="224" spans="1:39">
      <c r="C224" s="4">
        <v>4</v>
      </c>
      <c r="D224" s="96" t="s">
        <v>207</v>
      </c>
      <c r="E224" s="60">
        <v>0.6</v>
      </c>
      <c r="G224" s="75">
        <f t="shared" si="29"/>
        <v>0.6</v>
      </c>
      <c r="I224" s="7" t="s">
        <v>22</v>
      </c>
      <c r="K224" s="56">
        <f t="shared" si="30"/>
        <v>0.8</v>
      </c>
      <c r="M224" s="13">
        <v>7</v>
      </c>
      <c r="O224" s="13">
        <v>8</v>
      </c>
      <c r="Q224" s="13">
        <v>8</v>
      </c>
      <c r="S224" s="13">
        <v>7.25</v>
      </c>
      <c r="U224" s="13">
        <v>8</v>
      </c>
      <c r="W224" s="9">
        <f t="shared" si="31"/>
        <v>7.75</v>
      </c>
      <c r="Y224" s="9">
        <f t="shared" si="32"/>
        <v>3.72</v>
      </c>
    </row>
    <row r="225" spans="3:25">
      <c r="C225" s="4">
        <v>5</v>
      </c>
      <c r="D225" s="96" t="s">
        <v>206</v>
      </c>
      <c r="E225" s="60">
        <v>2.1</v>
      </c>
      <c r="G225" s="75">
        <f t="shared" si="29"/>
        <v>2.1</v>
      </c>
      <c r="I225" s="7" t="s">
        <v>22</v>
      </c>
      <c r="K225" s="56">
        <f t="shared" si="30"/>
        <v>1</v>
      </c>
      <c r="M225" s="13">
        <v>8.5</v>
      </c>
      <c r="O225" s="13">
        <v>6.5</v>
      </c>
      <c r="Q225" s="13">
        <v>7.75</v>
      </c>
      <c r="S225" s="13">
        <v>6.5</v>
      </c>
      <c r="U225" s="13">
        <v>6.25</v>
      </c>
      <c r="W225" s="9">
        <f t="shared" si="31"/>
        <v>6.916666666666667</v>
      </c>
      <c r="Y225" s="9">
        <f t="shared" si="32"/>
        <v>14.525</v>
      </c>
    </row>
    <row r="226" spans="3:25">
      <c r="C226" s="4">
        <v>6</v>
      </c>
      <c r="D226" s="96" t="s">
        <v>208</v>
      </c>
      <c r="E226" s="60">
        <v>2.7</v>
      </c>
      <c r="G226" s="75">
        <f t="shared" si="29"/>
        <v>2.7</v>
      </c>
      <c r="I226" s="7" t="s">
        <v>22</v>
      </c>
      <c r="K226" s="56">
        <f t="shared" si="30"/>
        <v>1</v>
      </c>
      <c r="M226" s="13">
        <v>5</v>
      </c>
      <c r="O226" s="13">
        <v>5</v>
      </c>
      <c r="Q226" s="13">
        <v>5</v>
      </c>
      <c r="S226" s="13">
        <v>5</v>
      </c>
      <c r="U226" s="13">
        <v>5</v>
      </c>
      <c r="W226" s="9">
        <f t="shared" si="31"/>
        <v>5</v>
      </c>
      <c r="Y226" s="9">
        <f t="shared" si="32"/>
        <v>13.5</v>
      </c>
    </row>
    <row r="227" spans="3:25">
      <c r="C227" s="4">
        <v>7</v>
      </c>
      <c r="D227" s="96" t="s">
        <v>283</v>
      </c>
      <c r="E227" s="60">
        <v>1.2</v>
      </c>
      <c r="G227" s="75">
        <f t="shared" si="29"/>
        <v>1.2</v>
      </c>
      <c r="I227" s="7" t="s">
        <v>22</v>
      </c>
      <c r="K227" s="56">
        <f t="shared" si="30"/>
        <v>0.8</v>
      </c>
      <c r="M227" s="13">
        <v>5</v>
      </c>
      <c r="O227" s="13">
        <v>8</v>
      </c>
      <c r="Q227" s="13">
        <v>6.75</v>
      </c>
      <c r="S227" s="13">
        <v>7</v>
      </c>
      <c r="U227" s="13">
        <v>6.75</v>
      </c>
      <c r="W227" s="9">
        <f t="shared" si="31"/>
        <v>6.833333333333333</v>
      </c>
      <c r="Y227" s="9">
        <f t="shared" si="32"/>
        <v>6.56</v>
      </c>
    </row>
    <row r="228" spans="3:25">
      <c r="C228" s="4">
        <v>8</v>
      </c>
      <c r="D228" s="96" t="s">
        <v>164</v>
      </c>
      <c r="E228" s="60">
        <v>2.7</v>
      </c>
      <c r="G228" s="75">
        <f t="shared" si="29"/>
        <v>2.7</v>
      </c>
      <c r="I228" s="7" t="s">
        <v>22</v>
      </c>
      <c r="K228" s="56">
        <f t="shared" si="30"/>
        <v>0.2</v>
      </c>
      <c r="M228" s="13">
        <v>8</v>
      </c>
      <c r="O228" s="13">
        <v>8</v>
      </c>
      <c r="Q228" s="13">
        <v>8.25</v>
      </c>
      <c r="S228" s="13">
        <v>6.75</v>
      </c>
      <c r="U228" s="13">
        <v>6.5</v>
      </c>
      <c r="W228" s="9">
        <f t="shared" si="31"/>
        <v>7.583333333333333</v>
      </c>
      <c r="Y228" s="9">
        <f t="shared" si="32"/>
        <v>4.0949999999999998</v>
      </c>
    </row>
    <row r="229" spans="3:25">
      <c r="C229" s="4">
        <v>9</v>
      </c>
      <c r="D229" s="96" t="s">
        <v>164</v>
      </c>
      <c r="E229" s="60">
        <v>0.7</v>
      </c>
      <c r="G229" s="75">
        <f t="shared" si="29"/>
        <v>0.7</v>
      </c>
      <c r="I229" s="7" t="s">
        <v>22</v>
      </c>
      <c r="K229" s="56">
        <f t="shared" si="30"/>
        <v>0.2</v>
      </c>
      <c r="M229" s="13">
        <v>6.75</v>
      </c>
      <c r="O229" s="13">
        <v>6</v>
      </c>
      <c r="Q229" s="13">
        <v>6</v>
      </c>
      <c r="S229" s="13">
        <v>6.75</v>
      </c>
      <c r="U229" s="13">
        <v>6.5</v>
      </c>
      <c r="W229" s="9">
        <f t="shared" si="31"/>
        <v>6.416666666666667</v>
      </c>
      <c r="Y229" s="9">
        <f t="shared" si="32"/>
        <v>0.89829999999999999</v>
      </c>
    </row>
    <row r="230" spans="3:25">
      <c r="U230" s="11" t="s">
        <v>23</v>
      </c>
      <c r="Y230" s="9">
        <f>SUM(Y221:Y229)</f>
        <v>70.451599999999999</v>
      </c>
    </row>
    <row r="231" spans="3:25">
      <c r="C231" s="8" t="s">
        <v>163</v>
      </c>
      <c r="U231" s="11" t="s">
        <v>24</v>
      </c>
      <c r="Y231" s="27">
        <v>7.7</v>
      </c>
    </row>
    <row r="232" spans="3:25">
      <c r="U232" s="11" t="s">
        <v>25</v>
      </c>
      <c r="Y232" s="27"/>
    </row>
    <row r="233" spans="3:25">
      <c r="U233" s="11" t="s">
        <v>26</v>
      </c>
      <c r="Y233" s="9">
        <f>Y230-Y231-Y232</f>
        <v>62.751599999999996</v>
      </c>
    </row>
    <row r="234" spans="3:25" ht="15">
      <c r="D234" s="12" t="s">
        <v>27</v>
      </c>
      <c r="U234" s="11"/>
    </row>
    <row r="235" spans="3:25">
      <c r="D235" s="2" t="s">
        <v>28</v>
      </c>
      <c r="K235" s="62">
        <f>$H$8</f>
        <v>1.5</v>
      </c>
      <c r="M235" s="13">
        <v>8.25</v>
      </c>
      <c r="O235" s="13">
        <v>7.25</v>
      </c>
      <c r="Q235" s="13">
        <v>7.75</v>
      </c>
      <c r="S235" s="13">
        <v>7.25</v>
      </c>
      <c r="U235" s="13">
        <v>7.75</v>
      </c>
      <c r="Y235" s="9">
        <f>ROUND((SUM(M235:U235)-MAX(M235:U235)-MIN(M235:U235))*K235,4)</f>
        <v>34.125</v>
      </c>
    </row>
    <row r="236" spans="3:25">
      <c r="D236" s="2" t="s">
        <v>29</v>
      </c>
      <c r="K236" s="62">
        <f>$K$8</f>
        <v>1.3</v>
      </c>
      <c r="M236" s="13">
        <v>7.5</v>
      </c>
      <c r="O236" s="13">
        <v>7.5</v>
      </c>
      <c r="Q236" s="13">
        <v>7.5</v>
      </c>
      <c r="S236" s="13">
        <v>6.75</v>
      </c>
      <c r="U236" s="13">
        <v>7.75</v>
      </c>
      <c r="Y236" s="9">
        <f>ROUND((SUM(M236:U236)-MAX(M236:U236)-MIN(M236:U236))*K236,4)</f>
        <v>29.25</v>
      </c>
    </row>
    <row r="237" spans="3:25">
      <c r="D237" s="2" t="s">
        <v>30</v>
      </c>
      <c r="K237" s="62">
        <f>$N$8</f>
        <v>1.5</v>
      </c>
      <c r="M237" s="13">
        <v>7.75</v>
      </c>
      <c r="O237" s="13">
        <v>7.75</v>
      </c>
      <c r="Q237" s="13">
        <v>7.5</v>
      </c>
      <c r="S237" s="13">
        <v>7</v>
      </c>
      <c r="U237" s="13">
        <v>7.75</v>
      </c>
      <c r="Y237" s="9">
        <f>ROUND((SUM(M237:U237)-MAX(M237:U237)-MIN(M237:U237))*K237,4)</f>
        <v>34.5</v>
      </c>
    </row>
    <row r="238" spans="3:25">
      <c r="U238" s="11" t="s">
        <v>31</v>
      </c>
      <c r="Y238" s="9">
        <f>SUM(Y235:Y237)</f>
        <v>97.875</v>
      </c>
    </row>
    <row r="239" spans="3:25">
      <c r="U239" s="11" t="s">
        <v>32</v>
      </c>
      <c r="Y239" s="27"/>
    </row>
    <row r="240" spans="3:25">
      <c r="U240" s="11" t="s">
        <v>33</v>
      </c>
      <c r="Y240" s="9">
        <f>Y238-Y239</f>
        <v>97.875</v>
      </c>
    </row>
    <row r="242" spans="1:39">
      <c r="C242" s="3" t="s">
        <v>4</v>
      </c>
      <c r="D242" s="99" t="s">
        <v>246</v>
      </c>
      <c r="E242" s="58"/>
    </row>
    <row r="243" spans="1:39">
      <c r="C243" s="3" t="s">
        <v>5</v>
      </c>
      <c r="D243" s="100" t="s">
        <v>247</v>
      </c>
      <c r="E243" s="58"/>
    </row>
    <row r="244" spans="1:39">
      <c r="C244" s="3" t="s">
        <v>6</v>
      </c>
      <c r="D244" s="100" t="s">
        <v>248</v>
      </c>
      <c r="E244" s="58"/>
    </row>
    <row r="245" spans="1:39">
      <c r="C245" s="3" t="s">
        <v>7</v>
      </c>
      <c r="D245" s="40" t="s">
        <v>241</v>
      </c>
      <c r="E245" s="58"/>
      <c r="AB245" s="42" t="s">
        <v>104</v>
      </c>
      <c r="AE245" s="2" t="s">
        <v>47</v>
      </c>
    </row>
    <row r="246" spans="1:39" ht="6.75" customHeight="1">
      <c r="C246" s="4"/>
      <c r="D246" s="40"/>
      <c r="E246" s="58"/>
      <c r="AB246" s="42"/>
    </row>
    <row r="247" spans="1:39" ht="15">
      <c r="A247" s="2" t="s">
        <v>20</v>
      </c>
      <c r="B247" s="14" t="s">
        <v>34</v>
      </c>
      <c r="C247" s="3" t="s">
        <v>8</v>
      </c>
      <c r="D247" s="2" t="s">
        <v>1</v>
      </c>
      <c r="E247" s="57">
        <f>SUM(E250:E258)</f>
        <v>18.799999999999997</v>
      </c>
      <c r="M247" s="6" t="s">
        <v>12</v>
      </c>
      <c r="O247" s="6" t="s">
        <v>13</v>
      </c>
      <c r="Q247" s="6" t="s">
        <v>14</v>
      </c>
      <c r="S247" s="6" t="s">
        <v>15</v>
      </c>
      <c r="U247" s="6" t="s">
        <v>16</v>
      </c>
      <c r="W247" s="9" t="s">
        <v>17</v>
      </c>
      <c r="Y247" s="9" t="s">
        <v>18</v>
      </c>
      <c r="AB247" s="42" t="s">
        <v>105</v>
      </c>
      <c r="AC247" s="2" t="s">
        <v>19</v>
      </c>
      <c r="AE247" s="3" t="s">
        <v>4</v>
      </c>
      <c r="AF247" s="3" t="s">
        <v>5</v>
      </c>
      <c r="AG247" s="3" t="s">
        <v>6</v>
      </c>
      <c r="AH247" s="3" t="s">
        <v>7</v>
      </c>
      <c r="AI247" s="5" t="s">
        <v>2</v>
      </c>
      <c r="AJ247" s="12" t="s">
        <v>27</v>
      </c>
      <c r="AK247" s="12" t="s">
        <v>109</v>
      </c>
      <c r="AL247" s="2" t="s">
        <v>105</v>
      </c>
      <c r="AM247" s="2" t="s">
        <v>19</v>
      </c>
    </row>
    <row r="248" spans="1:39" ht="6.75" customHeight="1">
      <c r="C248" s="4"/>
      <c r="D248" s="40"/>
      <c r="E248" s="58"/>
    </row>
    <row r="249" spans="1:39" ht="15">
      <c r="D249" s="41" t="s">
        <v>107</v>
      </c>
      <c r="E249" s="59" t="s">
        <v>9</v>
      </c>
      <c r="G249" s="2" t="s">
        <v>21</v>
      </c>
      <c r="I249" s="2" t="s">
        <v>10</v>
      </c>
      <c r="K249" s="2" t="s">
        <v>11</v>
      </c>
    </row>
    <row r="250" spans="1:39">
      <c r="A250" s="2">
        <f>RANK(AC250,$AC$18:$AC$600,0)</f>
        <v>7</v>
      </c>
      <c r="B250" s="10">
        <v>9</v>
      </c>
      <c r="C250" s="4">
        <v>1</v>
      </c>
      <c r="D250" s="96" t="s">
        <v>164</v>
      </c>
      <c r="E250" s="60">
        <v>0.75</v>
      </c>
      <c r="G250" s="75">
        <f>_xlfn.IFS(I250="　",E250,IF(COUNTIF(D250,"*Acro-Pair*")&gt;=1,AND(I250="*")),"0.100",I250="*",0.5,I250="**",0)</f>
        <v>0.75</v>
      </c>
      <c r="I250" s="7" t="s">
        <v>22</v>
      </c>
      <c r="K250" s="56">
        <f>IF(D250="","",IF(COUNTIF(D250,"*HYB*")&gt;=1,$D$8,IF(AND(COUNTIF(D250,"*Acro*")&gt;=1),$E$8,IF(AND(COUNTIF(D250,"*TRE*")&gt;=1),$G$8))))</f>
        <v>0.2</v>
      </c>
      <c r="M250" s="13">
        <v>9</v>
      </c>
      <c r="O250" s="13">
        <v>9.5</v>
      </c>
      <c r="Q250" s="13">
        <v>9</v>
      </c>
      <c r="S250" s="13">
        <v>8</v>
      </c>
      <c r="U250" s="13">
        <v>7.5</v>
      </c>
      <c r="W250" s="9">
        <f>(SUM(M250:U250)-MAX(M250:U250)-MIN(M250:U250))/3</f>
        <v>8.6666666666666661</v>
      </c>
      <c r="Y250" s="9">
        <f>IF(D250="","",ROUND(W250*G250*K250,4))</f>
        <v>1.3</v>
      </c>
      <c r="AB250" s="55">
        <v>1.5</v>
      </c>
      <c r="AC250" s="64">
        <f>Y262+Y269-AB250-AB251</f>
        <v>162.09910000000002</v>
      </c>
      <c r="AE250" s="37" t="str">
        <f>D242</f>
        <v>栄アーティスティックスイミングクラブ</v>
      </c>
      <c r="AF250" s="37" t="str">
        <f>D243</f>
        <v>栄アーティスティックスイミングクラブA</v>
      </c>
      <c r="AG250" s="37" t="str">
        <f>D244</f>
        <v>ななみ/はるか</v>
      </c>
      <c r="AH250" s="37" t="str">
        <f>D245</f>
        <v>来藤らんらん/若藤わかな</v>
      </c>
      <c r="AI250" s="66">
        <f>Y262</f>
        <v>65.724100000000007</v>
      </c>
      <c r="AJ250" s="39">
        <f>Y269</f>
        <v>97.875</v>
      </c>
      <c r="AK250" s="65">
        <f>AB250</f>
        <v>1.5</v>
      </c>
      <c r="AL250" s="65">
        <f>AB251</f>
        <v>0</v>
      </c>
      <c r="AM250" s="64">
        <f>AC250</f>
        <v>162.09910000000002</v>
      </c>
    </row>
    <row r="251" spans="1:39">
      <c r="C251" s="4">
        <v>2</v>
      </c>
      <c r="D251" s="96" t="s">
        <v>164</v>
      </c>
      <c r="E251" s="60">
        <v>5.95</v>
      </c>
      <c r="G251" s="75">
        <f t="shared" ref="G251:G258" si="33">_xlfn.IFS(I251="　",E251,IF(COUNTIF(D251,"*Acro-Pair*")&gt;=1,AND(I251="*")),"0.100",I251="*",0.5,I251="**",0)</f>
        <v>5.95</v>
      </c>
      <c r="I251" s="7" t="s">
        <v>22</v>
      </c>
      <c r="K251" s="56">
        <f t="shared" ref="K251:K258" si="34">IF(D251="","",IF(COUNTIF(D251,"*HYB*")&gt;=1,$D$8,IF(AND(COUNTIF(D251,"*Acro*")&gt;=1),$E$8,IF(AND(COUNTIF(D251,"*TRE*")&gt;=1),$G$8))))</f>
        <v>0.2</v>
      </c>
      <c r="M251" s="13">
        <v>7.25</v>
      </c>
      <c r="O251" s="13">
        <v>6.25</v>
      </c>
      <c r="Q251" s="13">
        <v>6.5</v>
      </c>
      <c r="S251" s="13">
        <v>7.25</v>
      </c>
      <c r="U251" s="13">
        <v>7</v>
      </c>
      <c r="W251" s="9">
        <f t="shared" ref="W251:W258" si="35">(SUM(M251:U251)-MAX(M251:U251)-MIN(M251:U251))/3</f>
        <v>6.916666666666667</v>
      </c>
      <c r="Y251" s="9">
        <f t="shared" ref="Y251:Y258" si="36">IF(D251="","",ROUND(W251*G251*K251,4))</f>
        <v>8.2308000000000003</v>
      </c>
      <c r="AB251" s="55"/>
    </row>
    <row r="252" spans="1:39">
      <c r="C252" s="4">
        <v>3</v>
      </c>
      <c r="D252" s="96" t="s">
        <v>206</v>
      </c>
      <c r="E252" s="60">
        <v>2.1</v>
      </c>
      <c r="G252" s="75">
        <f t="shared" si="33"/>
        <v>2.1</v>
      </c>
      <c r="I252" s="7" t="s">
        <v>22</v>
      </c>
      <c r="K252" s="56">
        <f t="shared" si="34"/>
        <v>1</v>
      </c>
      <c r="M252" s="13">
        <v>8.75</v>
      </c>
      <c r="O252" s="13">
        <v>8.25</v>
      </c>
      <c r="Q252" s="13">
        <v>8.5</v>
      </c>
      <c r="S252" s="13">
        <v>7</v>
      </c>
      <c r="U252" s="13">
        <v>7.5</v>
      </c>
      <c r="W252" s="9">
        <f t="shared" si="35"/>
        <v>8.0833333333333339</v>
      </c>
      <c r="Y252" s="9">
        <f t="shared" si="36"/>
        <v>16.975000000000001</v>
      </c>
    </row>
    <row r="253" spans="1:39">
      <c r="C253" s="4">
        <v>4</v>
      </c>
      <c r="D253" s="96" t="s">
        <v>207</v>
      </c>
      <c r="E253" s="60">
        <v>0.6</v>
      </c>
      <c r="G253" s="75">
        <f t="shared" si="33"/>
        <v>0.6</v>
      </c>
      <c r="I253" s="7" t="s">
        <v>22</v>
      </c>
      <c r="K253" s="56">
        <f t="shared" si="34"/>
        <v>0.8</v>
      </c>
      <c r="M253" s="13">
        <v>6.75</v>
      </c>
      <c r="O253" s="13">
        <v>6</v>
      </c>
      <c r="Q253" s="13">
        <v>6.25</v>
      </c>
      <c r="S253" s="13">
        <v>7.25</v>
      </c>
      <c r="U253" s="13">
        <v>7</v>
      </c>
      <c r="W253" s="9">
        <f t="shared" si="35"/>
        <v>6.666666666666667</v>
      </c>
      <c r="Y253" s="9">
        <f t="shared" si="36"/>
        <v>3.2</v>
      </c>
    </row>
    <row r="254" spans="1:39">
      <c r="C254" s="4">
        <v>5</v>
      </c>
      <c r="D254" s="96" t="s">
        <v>206</v>
      </c>
      <c r="E254" s="60">
        <v>2.1</v>
      </c>
      <c r="G254" s="75">
        <f t="shared" si="33"/>
        <v>2.1</v>
      </c>
      <c r="I254" s="7" t="s">
        <v>22</v>
      </c>
      <c r="K254" s="56">
        <f t="shared" si="34"/>
        <v>1</v>
      </c>
      <c r="M254" s="13">
        <v>8.5</v>
      </c>
      <c r="O254" s="13">
        <v>6.5</v>
      </c>
      <c r="Q254" s="13">
        <v>7.75</v>
      </c>
      <c r="S254" s="13">
        <v>6.5</v>
      </c>
      <c r="U254" s="13">
        <v>6.25</v>
      </c>
      <c r="W254" s="9">
        <f t="shared" si="35"/>
        <v>6.916666666666667</v>
      </c>
      <c r="Y254" s="9">
        <f t="shared" si="36"/>
        <v>14.525</v>
      </c>
    </row>
    <row r="255" spans="1:39">
      <c r="C255" s="4">
        <v>6</v>
      </c>
      <c r="D255" s="96" t="s">
        <v>208</v>
      </c>
      <c r="E255" s="60">
        <v>2.7</v>
      </c>
      <c r="G255" s="75">
        <f t="shared" si="33"/>
        <v>2.7</v>
      </c>
      <c r="I255" s="7" t="s">
        <v>22</v>
      </c>
      <c r="K255" s="56">
        <f t="shared" si="34"/>
        <v>1</v>
      </c>
      <c r="M255" s="13">
        <v>6.75</v>
      </c>
      <c r="O255" s="13">
        <v>6</v>
      </c>
      <c r="Q255" s="13">
        <v>6.75</v>
      </c>
      <c r="S255" s="13">
        <v>7</v>
      </c>
      <c r="U255" s="13">
        <v>6.75</v>
      </c>
      <c r="W255" s="9">
        <f t="shared" si="35"/>
        <v>6.75</v>
      </c>
      <c r="Y255" s="9">
        <f t="shared" si="36"/>
        <v>18.225000000000001</v>
      </c>
    </row>
    <row r="256" spans="1:39">
      <c r="C256" s="4">
        <v>7</v>
      </c>
      <c r="D256" s="96" t="s">
        <v>283</v>
      </c>
      <c r="E256" s="60">
        <v>1.2</v>
      </c>
      <c r="G256" s="75">
        <f t="shared" si="33"/>
        <v>1.2</v>
      </c>
      <c r="I256" s="7" t="s">
        <v>22</v>
      </c>
      <c r="K256" s="56">
        <f t="shared" si="34"/>
        <v>0.8</v>
      </c>
      <c r="M256" s="13">
        <v>7</v>
      </c>
      <c r="O256" s="13">
        <v>6.5</v>
      </c>
      <c r="Q256" s="13">
        <v>6.75</v>
      </c>
      <c r="S256" s="13">
        <v>7</v>
      </c>
      <c r="U256" s="13">
        <v>6.75</v>
      </c>
      <c r="W256" s="9">
        <f t="shared" si="35"/>
        <v>6.833333333333333</v>
      </c>
      <c r="Y256" s="9">
        <f t="shared" si="36"/>
        <v>6.56</v>
      </c>
    </row>
    <row r="257" spans="3:25">
      <c r="C257" s="4">
        <v>8</v>
      </c>
      <c r="D257" s="96" t="s">
        <v>164</v>
      </c>
      <c r="E257" s="60">
        <v>2.7</v>
      </c>
      <c r="G257" s="75">
        <f t="shared" si="33"/>
        <v>2.7</v>
      </c>
      <c r="I257" s="7" t="s">
        <v>22</v>
      </c>
      <c r="K257" s="56">
        <f t="shared" si="34"/>
        <v>0.2</v>
      </c>
      <c r="M257" s="13">
        <v>7</v>
      </c>
      <c r="O257" s="13">
        <v>6</v>
      </c>
      <c r="Q257" s="13">
        <v>6.25</v>
      </c>
      <c r="S257" s="13">
        <v>6.75</v>
      </c>
      <c r="U257" s="13">
        <v>6.5</v>
      </c>
      <c r="W257" s="9">
        <f t="shared" si="35"/>
        <v>6.5</v>
      </c>
      <c r="Y257" s="9">
        <f t="shared" si="36"/>
        <v>3.51</v>
      </c>
    </row>
    <row r="258" spans="3:25">
      <c r="C258" s="4">
        <v>9</v>
      </c>
      <c r="D258" s="96" t="s">
        <v>164</v>
      </c>
      <c r="E258" s="60">
        <v>0.7</v>
      </c>
      <c r="G258" s="75">
        <f t="shared" si="33"/>
        <v>0.7</v>
      </c>
      <c r="I258" s="7" t="s">
        <v>22</v>
      </c>
      <c r="K258" s="56">
        <f t="shared" si="34"/>
        <v>0.2</v>
      </c>
      <c r="M258" s="13">
        <v>6.75</v>
      </c>
      <c r="O258" s="13">
        <v>6</v>
      </c>
      <c r="Q258" s="13">
        <v>6</v>
      </c>
      <c r="S258" s="13">
        <v>6.75</v>
      </c>
      <c r="U258" s="13">
        <v>6.5</v>
      </c>
      <c r="W258" s="9">
        <f t="shared" si="35"/>
        <v>6.416666666666667</v>
      </c>
      <c r="Y258" s="9">
        <f t="shared" si="36"/>
        <v>0.89829999999999999</v>
      </c>
    </row>
    <row r="259" spans="3:25">
      <c r="U259" s="11" t="s">
        <v>23</v>
      </c>
      <c r="Y259" s="9">
        <f>SUM(Y250:Y258)</f>
        <v>73.42410000000001</v>
      </c>
    </row>
    <row r="260" spans="3:25">
      <c r="C260" s="8" t="s">
        <v>163</v>
      </c>
      <c r="U260" s="11" t="s">
        <v>24</v>
      </c>
      <c r="Y260" s="27">
        <v>7.7</v>
      </c>
    </row>
    <row r="261" spans="3:25">
      <c r="U261" s="11" t="s">
        <v>25</v>
      </c>
      <c r="Y261" s="27"/>
    </row>
    <row r="262" spans="3:25">
      <c r="U262" s="11" t="s">
        <v>26</v>
      </c>
      <c r="Y262" s="9">
        <f>Y259-Y260-Y261</f>
        <v>65.724100000000007</v>
      </c>
    </row>
    <row r="263" spans="3:25" ht="15">
      <c r="D263" s="12" t="s">
        <v>27</v>
      </c>
      <c r="U263" s="11"/>
    </row>
    <row r="264" spans="3:25">
      <c r="D264" s="2" t="s">
        <v>28</v>
      </c>
      <c r="K264" s="62">
        <f>$H$8</f>
        <v>1.5</v>
      </c>
      <c r="M264" s="13">
        <v>8.25</v>
      </c>
      <c r="O264" s="13">
        <v>7.25</v>
      </c>
      <c r="Q264" s="13">
        <v>7.75</v>
      </c>
      <c r="S264" s="13">
        <v>7.25</v>
      </c>
      <c r="U264" s="13">
        <v>7.75</v>
      </c>
      <c r="Y264" s="9">
        <f>ROUND((SUM(M264:U264)-MAX(M264:U264)-MIN(M264:U264))*K264,4)</f>
        <v>34.125</v>
      </c>
    </row>
    <row r="265" spans="3:25">
      <c r="D265" s="2" t="s">
        <v>29</v>
      </c>
      <c r="K265" s="62">
        <f>$K$8</f>
        <v>1.3</v>
      </c>
      <c r="M265" s="13">
        <v>7.5</v>
      </c>
      <c r="O265" s="13">
        <v>7.5</v>
      </c>
      <c r="Q265" s="13">
        <v>7.5</v>
      </c>
      <c r="S265" s="13">
        <v>6.75</v>
      </c>
      <c r="U265" s="13">
        <v>7.75</v>
      </c>
      <c r="Y265" s="9">
        <f>ROUND((SUM(M265:U265)-MAX(M265:U265)-MIN(M265:U265))*K265,4)</f>
        <v>29.25</v>
      </c>
    </row>
    <row r="266" spans="3:25">
      <c r="D266" s="2" t="s">
        <v>30</v>
      </c>
      <c r="K266" s="62">
        <f>$N$8</f>
        <v>1.5</v>
      </c>
      <c r="M266" s="13">
        <v>7.75</v>
      </c>
      <c r="O266" s="13">
        <v>7.75</v>
      </c>
      <c r="Q266" s="13">
        <v>7.5</v>
      </c>
      <c r="S266" s="13">
        <v>7</v>
      </c>
      <c r="U266" s="13">
        <v>7.75</v>
      </c>
      <c r="Y266" s="9">
        <f>ROUND((SUM(M266:U266)-MAX(M266:U266)-MIN(M266:U266))*K266,4)</f>
        <v>34.5</v>
      </c>
    </row>
    <row r="267" spans="3:25">
      <c r="U267" s="11" t="s">
        <v>31</v>
      </c>
      <c r="Y267" s="9">
        <f>SUM(Y264:Y266)</f>
        <v>97.875</v>
      </c>
    </row>
    <row r="268" spans="3:25">
      <c r="U268" s="11" t="s">
        <v>32</v>
      </c>
      <c r="Y268" s="27"/>
    </row>
    <row r="269" spans="3:25">
      <c r="U269" s="11" t="s">
        <v>33</v>
      </c>
      <c r="Y269" s="9">
        <f>Y267-Y268</f>
        <v>97.875</v>
      </c>
    </row>
    <row r="271" spans="3:25">
      <c r="C271" s="3" t="s">
        <v>4</v>
      </c>
      <c r="D271" s="99" t="s">
        <v>243</v>
      </c>
      <c r="E271" s="58"/>
    </row>
    <row r="272" spans="3:25">
      <c r="C272" s="3" t="s">
        <v>5</v>
      </c>
      <c r="D272" s="100" t="s">
        <v>244</v>
      </c>
      <c r="E272" s="58"/>
    </row>
    <row r="273" spans="1:39">
      <c r="C273" s="3" t="s">
        <v>6</v>
      </c>
      <c r="D273" s="100" t="s">
        <v>245</v>
      </c>
      <c r="E273" s="58"/>
    </row>
    <row r="274" spans="1:39">
      <c r="C274" s="3" t="s">
        <v>7</v>
      </c>
      <c r="D274" s="40" t="s">
        <v>241</v>
      </c>
      <c r="E274" s="58"/>
      <c r="AB274" s="42" t="s">
        <v>104</v>
      </c>
      <c r="AE274" s="2" t="s">
        <v>47</v>
      </c>
    </row>
    <row r="275" spans="1:39" ht="6.75" customHeight="1">
      <c r="C275" s="4"/>
      <c r="D275" s="40"/>
      <c r="E275" s="58"/>
      <c r="AB275" s="42"/>
    </row>
    <row r="276" spans="1:39" ht="15">
      <c r="A276" s="2" t="s">
        <v>20</v>
      </c>
      <c r="B276" s="14" t="s">
        <v>34</v>
      </c>
      <c r="C276" s="3" t="s">
        <v>8</v>
      </c>
      <c r="D276" s="2" t="s">
        <v>1</v>
      </c>
      <c r="E276" s="57">
        <f>SUM(E279:E287)</f>
        <v>18.799999999999997</v>
      </c>
      <c r="M276" s="6" t="s">
        <v>12</v>
      </c>
      <c r="O276" s="6" t="s">
        <v>13</v>
      </c>
      <c r="Q276" s="6" t="s">
        <v>14</v>
      </c>
      <c r="S276" s="6" t="s">
        <v>15</v>
      </c>
      <c r="U276" s="6" t="s">
        <v>16</v>
      </c>
      <c r="W276" s="9" t="s">
        <v>17</v>
      </c>
      <c r="Y276" s="9" t="s">
        <v>18</v>
      </c>
      <c r="AB276" s="42" t="s">
        <v>105</v>
      </c>
      <c r="AC276" s="2" t="s">
        <v>19</v>
      </c>
      <c r="AE276" s="3" t="s">
        <v>4</v>
      </c>
      <c r="AF276" s="3" t="s">
        <v>5</v>
      </c>
      <c r="AG276" s="3" t="s">
        <v>6</v>
      </c>
      <c r="AH276" s="3" t="s">
        <v>7</v>
      </c>
      <c r="AI276" s="5" t="s">
        <v>2</v>
      </c>
      <c r="AJ276" s="12" t="s">
        <v>27</v>
      </c>
      <c r="AK276" s="12" t="s">
        <v>109</v>
      </c>
      <c r="AL276" s="2" t="s">
        <v>105</v>
      </c>
      <c r="AM276" s="2" t="s">
        <v>19</v>
      </c>
    </row>
    <row r="277" spans="1:39" ht="6.75" customHeight="1">
      <c r="C277" s="4"/>
      <c r="D277" s="40"/>
      <c r="E277" s="58"/>
    </row>
    <row r="278" spans="1:39" ht="15">
      <c r="D278" s="41" t="s">
        <v>107</v>
      </c>
      <c r="E278" s="59" t="s">
        <v>9</v>
      </c>
      <c r="G278" s="2" t="s">
        <v>21</v>
      </c>
      <c r="I278" s="2" t="s">
        <v>10</v>
      </c>
      <c r="K278" s="2" t="s">
        <v>11</v>
      </c>
    </row>
    <row r="279" spans="1:39">
      <c r="A279" s="2">
        <f>RANK(AC279,$AC$18:$AC$600,0)</f>
        <v>10</v>
      </c>
      <c r="B279" s="10">
        <v>10</v>
      </c>
      <c r="C279" s="4">
        <v>1</v>
      </c>
      <c r="D279" s="96" t="s">
        <v>164</v>
      </c>
      <c r="E279" s="60">
        <v>0.75</v>
      </c>
      <c r="G279" s="75">
        <f>_xlfn.IFS(I279="　",E279,IF(COUNTIF(D279,"*Acro-Pair*")&gt;=1,AND(I279="*")),"0.100",I279="*",0.5,I279="**",0)</f>
        <v>0.75</v>
      </c>
      <c r="I279" s="7" t="s">
        <v>22</v>
      </c>
      <c r="K279" s="56">
        <f>IF(D279="","",IF(COUNTIF(D279,"*HYB*")&gt;=1,$D$8,IF(AND(COUNTIF(D279,"*Acro*")&gt;=1),$E$8,IF(AND(COUNTIF(D279,"*TRE*")&gt;=1),$G$8))))</f>
        <v>0.2</v>
      </c>
      <c r="M279" s="13">
        <v>9</v>
      </c>
      <c r="O279" s="13">
        <v>9.5</v>
      </c>
      <c r="Q279" s="13">
        <v>9</v>
      </c>
      <c r="S279" s="13">
        <v>8</v>
      </c>
      <c r="U279" s="13">
        <v>7.5</v>
      </c>
      <c r="W279" s="9">
        <f>(SUM(M279:U279)-MAX(M279:U279)-MIN(M279:U279))/3</f>
        <v>8.6666666666666661</v>
      </c>
      <c r="Y279" s="9">
        <f>IF(D279="","",ROUND(W279*G279*K279,4))</f>
        <v>1.3</v>
      </c>
      <c r="AB279" s="55">
        <v>1.5</v>
      </c>
      <c r="AC279" s="64">
        <f>Y291+Y298-AB279-AB280</f>
        <v>161.69910000000002</v>
      </c>
      <c r="AE279" s="37" t="str">
        <f>D271</f>
        <v>博多アーティスティックスイミングクラブ</v>
      </c>
      <c r="AF279" s="37" t="str">
        <f>D272</f>
        <v>博多アーティスティックスイミングクラブA</v>
      </c>
      <c r="AG279" s="37" t="str">
        <f>D273</f>
        <v>まりな/やくみ</v>
      </c>
      <c r="AH279" s="37" t="str">
        <f>D274</f>
        <v>来藤らんらん/若藤わかな</v>
      </c>
      <c r="AI279" s="66">
        <f>Y291</f>
        <v>65.324100000000016</v>
      </c>
      <c r="AJ279" s="39">
        <f>Y298</f>
        <v>97.875</v>
      </c>
      <c r="AK279" s="65">
        <f>AB279</f>
        <v>1.5</v>
      </c>
      <c r="AL279" s="65">
        <f>AB280</f>
        <v>0</v>
      </c>
      <c r="AM279" s="64">
        <f>AC279</f>
        <v>161.69910000000002</v>
      </c>
    </row>
    <row r="280" spans="1:39">
      <c r="C280" s="4">
        <v>2</v>
      </c>
      <c r="D280" s="96" t="s">
        <v>164</v>
      </c>
      <c r="E280" s="60">
        <v>5.95</v>
      </c>
      <c r="G280" s="75">
        <f t="shared" ref="G280:G287" si="37">_xlfn.IFS(I280="　",E280,IF(COUNTIF(D280,"*Acro-Pair*")&gt;=1,AND(I280="*")),"0.100",I280="*",0.5,I280="**",0)</f>
        <v>5.95</v>
      </c>
      <c r="I280" s="7" t="s">
        <v>22</v>
      </c>
      <c r="K280" s="56">
        <f t="shared" ref="K280:K287" si="38">IF(D280="","",IF(COUNTIF(D280,"*HYB*")&gt;=1,$D$8,IF(AND(COUNTIF(D280,"*Acro*")&gt;=1),$E$8,IF(AND(COUNTIF(D280,"*TRE*")&gt;=1),$G$8))))</f>
        <v>0.2</v>
      </c>
      <c r="M280" s="13">
        <v>7.25</v>
      </c>
      <c r="O280" s="13">
        <v>6.25</v>
      </c>
      <c r="Q280" s="13">
        <v>6.5</v>
      </c>
      <c r="S280" s="13">
        <v>7.25</v>
      </c>
      <c r="U280" s="13">
        <v>7</v>
      </c>
      <c r="W280" s="9">
        <f t="shared" ref="W280:W287" si="39">(SUM(M280:U280)-MAX(M280:U280)-MIN(M280:U280))/3</f>
        <v>6.916666666666667</v>
      </c>
      <c r="Y280" s="9">
        <f t="shared" ref="Y280:Y287" si="40">IF(D280="","",ROUND(W280*G280*K280,4))</f>
        <v>8.2308000000000003</v>
      </c>
      <c r="AB280" s="55"/>
    </row>
    <row r="281" spans="1:39">
      <c r="C281" s="4">
        <v>3</v>
      </c>
      <c r="D281" s="96" t="s">
        <v>206</v>
      </c>
      <c r="E281" s="60">
        <v>2.1</v>
      </c>
      <c r="G281" s="75">
        <f t="shared" si="37"/>
        <v>2.1</v>
      </c>
      <c r="I281" s="7" t="s">
        <v>22</v>
      </c>
      <c r="K281" s="56">
        <f t="shared" si="38"/>
        <v>1</v>
      </c>
      <c r="M281" s="13">
        <v>8.75</v>
      </c>
      <c r="O281" s="13">
        <v>8.25</v>
      </c>
      <c r="Q281" s="13">
        <v>8.5</v>
      </c>
      <c r="S281" s="13">
        <v>7</v>
      </c>
      <c r="U281" s="13">
        <v>7.5</v>
      </c>
      <c r="W281" s="9">
        <f t="shared" si="39"/>
        <v>8.0833333333333339</v>
      </c>
      <c r="Y281" s="9">
        <f t="shared" si="40"/>
        <v>16.975000000000001</v>
      </c>
    </row>
    <row r="282" spans="1:39">
      <c r="C282" s="4">
        <v>4</v>
      </c>
      <c r="D282" s="96" t="s">
        <v>207</v>
      </c>
      <c r="E282" s="60">
        <v>0.6</v>
      </c>
      <c r="G282" s="75">
        <f t="shared" si="37"/>
        <v>0.6</v>
      </c>
      <c r="I282" s="7" t="s">
        <v>22</v>
      </c>
      <c r="K282" s="56">
        <f t="shared" si="38"/>
        <v>0.8</v>
      </c>
      <c r="M282" s="13">
        <v>6.75</v>
      </c>
      <c r="O282" s="13">
        <v>6</v>
      </c>
      <c r="Q282" s="13">
        <v>6.25</v>
      </c>
      <c r="S282" s="13">
        <v>7.25</v>
      </c>
      <c r="U282" s="13">
        <v>7</v>
      </c>
      <c r="W282" s="9">
        <f t="shared" si="39"/>
        <v>6.666666666666667</v>
      </c>
      <c r="Y282" s="9">
        <f t="shared" si="40"/>
        <v>3.2</v>
      </c>
    </row>
    <row r="283" spans="1:39">
      <c r="C283" s="4">
        <v>5</v>
      </c>
      <c r="D283" s="96" t="s">
        <v>206</v>
      </c>
      <c r="E283" s="60">
        <v>2.1</v>
      </c>
      <c r="G283" s="75">
        <f t="shared" si="37"/>
        <v>2.1</v>
      </c>
      <c r="I283" s="7" t="s">
        <v>22</v>
      </c>
      <c r="K283" s="56">
        <f t="shared" si="38"/>
        <v>1</v>
      </c>
      <c r="M283" s="13">
        <v>8.5</v>
      </c>
      <c r="O283" s="13">
        <v>6.5</v>
      </c>
      <c r="Q283" s="13">
        <v>7.75</v>
      </c>
      <c r="S283" s="13">
        <v>6.5</v>
      </c>
      <c r="U283" s="13">
        <v>6.25</v>
      </c>
      <c r="W283" s="9">
        <f t="shared" si="39"/>
        <v>6.916666666666667</v>
      </c>
      <c r="Y283" s="9">
        <f t="shared" si="40"/>
        <v>14.525</v>
      </c>
    </row>
    <row r="284" spans="1:39">
      <c r="C284" s="4">
        <v>6</v>
      </c>
      <c r="D284" s="96" t="s">
        <v>208</v>
      </c>
      <c r="E284" s="60">
        <v>2.7</v>
      </c>
      <c r="G284" s="75">
        <f t="shared" si="37"/>
        <v>2.7</v>
      </c>
      <c r="I284" s="7" t="s">
        <v>22</v>
      </c>
      <c r="K284" s="56">
        <f t="shared" si="38"/>
        <v>1</v>
      </c>
      <c r="M284" s="13">
        <v>6.75</v>
      </c>
      <c r="O284" s="13">
        <v>6</v>
      </c>
      <c r="Q284" s="13">
        <v>6.75</v>
      </c>
      <c r="S284" s="13">
        <v>7</v>
      </c>
      <c r="U284" s="13">
        <v>6.75</v>
      </c>
      <c r="W284" s="9">
        <f t="shared" si="39"/>
        <v>6.75</v>
      </c>
      <c r="Y284" s="9">
        <f t="shared" si="40"/>
        <v>18.225000000000001</v>
      </c>
    </row>
    <row r="285" spans="1:39">
      <c r="C285" s="4">
        <v>7</v>
      </c>
      <c r="D285" s="96" t="s">
        <v>283</v>
      </c>
      <c r="E285" s="60">
        <v>1.2</v>
      </c>
      <c r="G285" s="75">
        <f t="shared" si="37"/>
        <v>1.2</v>
      </c>
      <c r="I285" s="7" t="s">
        <v>22</v>
      </c>
      <c r="K285" s="56">
        <f t="shared" si="38"/>
        <v>0.8</v>
      </c>
      <c r="M285" s="13">
        <v>6</v>
      </c>
      <c r="O285" s="13">
        <v>6.5</v>
      </c>
      <c r="Q285" s="13">
        <v>6</v>
      </c>
      <c r="S285" s="13">
        <v>7</v>
      </c>
      <c r="U285" s="13">
        <v>6.75</v>
      </c>
      <c r="W285" s="9">
        <f t="shared" si="39"/>
        <v>6.416666666666667</v>
      </c>
      <c r="Y285" s="9">
        <f t="shared" si="40"/>
        <v>6.16</v>
      </c>
    </row>
    <row r="286" spans="1:39">
      <c r="C286" s="4">
        <v>8</v>
      </c>
      <c r="D286" s="96" t="s">
        <v>164</v>
      </c>
      <c r="E286" s="60">
        <v>2.7</v>
      </c>
      <c r="G286" s="75">
        <f t="shared" si="37"/>
        <v>2.7</v>
      </c>
      <c r="I286" s="7" t="s">
        <v>22</v>
      </c>
      <c r="K286" s="56">
        <f t="shared" si="38"/>
        <v>0.2</v>
      </c>
      <c r="M286" s="13">
        <v>7</v>
      </c>
      <c r="O286" s="13">
        <v>6</v>
      </c>
      <c r="Q286" s="13">
        <v>6.25</v>
      </c>
      <c r="S286" s="13">
        <v>6.75</v>
      </c>
      <c r="U286" s="13">
        <v>6.5</v>
      </c>
      <c r="W286" s="9">
        <f t="shared" si="39"/>
        <v>6.5</v>
      </c>
      <c r="Y286" s="9">
        <f t="shared" si="40"/>
        <v>3.51</v>
      </c>
    </row>
    <row r="287" spans="1:39">
      <c r="C287" s="4">
        <v>9</v>
      </c>
      <c r="D287" s="96" t="s">
        <v>164</v>
      </c>
      <c r="E287" s="60">
        <v>0.7</v>
      </c>
      <c r="G287" s="75">
        <f t="shared" si="37"/>
        <v>0.7</v>
      </c>
      <c r="I287" s="7" t="s">
        <v>22</v>
      </c>
      <c r="K287" s="56">
        <f t="shared" si="38"/>
        <v>0.2</v>
      </c>
      <c r="M287" s="13">
        <v>6.75</v>
      </c>
      <c r="O287" s="13">
        <v>6</v>
      </c>
      <c r="Q287" s="13">
        <v>6</v>
      </c>
      <c r="S287" s="13">
        <v>6.75</v>
      </c>
      <c r="U287" s="13">
        <v>6.5</v>
      </c>
      <c r="W287" s="9">
        <f t="shared" si="39"/>
        <v>6.416666666666667</v>
      </c>
      <c r="Y287" s="9">
        <f t="shared" si="40"/>
        <v>0.89829999999999999</v>
      </c>
    </row>
    <row r="288" spans="1:39">
      <c r="U288" s="11" t="s">
        <v>23</v>
      </c>
      <c r="Y288" s="9">
        <f>SUM(Y279:Y287)</f>
        <v>73.024100000000018</v>
      </c>
    </row>
    <row r="289" spans="3:31">
      <c r="C289" s="8" t="s">
        <v>163</v>
      </c>
      <c r="U289" s="11" t="s">
        <v>24</v>
      </c>
      <c r="Y289" s="27">
        <v>7.7</v>
      </c>
    </row>
    <row r="290" spans="3:31">
      <c r="U290" s="11" t="s">
        <v>25</v>
      </c>
      <c r="Y290" s="27"/>
    </row>
    <row r="291" spans="3:31">
      <c r="U291" s="11" t="s">
        <v>26</v>
      </c>
      <c r="Y291" s="9">
        <f>Y288-Y289-Y290</f>
        <v>65.324100000000016</v>
      </c>
    </row>
    <row r="292" spans="3:31" ht="15">
      <c r="D292" s="12" t="s">
        <v>27</v>
      </c>
      <c r="U292" s="11"/>
    </row>
    <row r="293" spans="3:31">
      <c r="D293" s="2" t="s">
        <v>28</v>
      </c>
      <c r="K293" s="62">
        <f>$H$8</f>
        <v>1.5</v>
      </c>
      <c r="M293" s="13">
        <v>8.25</v>
      </c>
      <c r="O293" s="13">
        <v>7.25</v>
      </c>
      <c r="Q293" s="13">
        <v>7.75</v>
      </c>
      <c r="S293" s="13">
        <v>7.25</v>
      </c>
      <c r="U293" s="13">
        <v>7.75</v>
      </c>
      <c r="Y293" s="9">
        <f>ROUND((SUM(M293:U293)-MAX(M293:U293)-MIN(M293:U293))*K293,4)</f>
        <v>34.125</v>
      </c>
    </row>
    <row r="294" spans="3:31">
      <c r="D294" s="2" t="s">
        <v>29</v>
      </c>
      <c r="K294" s="62">
        <f>$K$8</f>
        <v>1.3</v>
      </c>
      <c r="M294" s="13">
        <v>7.5</v>
      </c>
      <c r="O294" s="13">
        <v>7.5</v>
      </c>
      <c r="Q294" s="13">
        <v>7.5</v>
      </c>
      <c r="S294" s="13">
        <v>6.75</v>
      </c>
      <c r="U294" s="13">
        <v>7.75</v>
      </c>
      <c r="Y294" s="9">
        <f>ROUND((SUM(M294:U294)-MAX(M294:U294)-MIN(M294:U294))*K294,4)</f>
        <v>29.25</v>
      </c>
    </row>
    <row r="295" spans="3:31">
      <c r="D295" s="2" t="s">
        <v>30</v>
      </c>
      <c r="K295" s="62">
        <f>$N$8</f>
        <v>1.5</v>
      </c>
      <c r="M295" s="13">
        <v>7.75</v>
      </c>
      <c r="O295" s="13">
        <v>7.75</v>
      </c>
      <c r="Q295" s="13">
        <v>7.5</v>
      </c>
      <c r="S295" s="13">
        <v>7</v>
      </c>
      <c r="U295" s="13">
        <v>7.75</v>
      </c>
      <c r="Y295" s="9">
        <f>ROUND((SUM(M295:U295)-MAX(M295:U295)-MIN(M295:U295))*K295,4)</f>
        <v>34.5</v>
      </c>
    </row>
    <row r="296" spans="3:31">
      <c r="U296" s="11" t="s">
        <v>31</v>
      </c>
      <c r="Y296" s="9">
        <f>SUM(Y293:Y295)</f>
        <v>97.875</v>
      </c>
    </row>
    <row r="297" spans="3:31">
      <c r="U297" s="11" t="s">
        <v>32</v>
      </c>
      <c r="Y297" s="27"/>
    </row>
    <row r="298" spans="3:31">
      <c r="U298" s="11" t="s">
        <v>33</v>
      </c>
      <c r="Y298" s="9">
        <f>Y296-Y297</f>
        <v>97.875</v>
      </c>
    </row>
    <row r="300" spans="3:31">
      <c r="C300" s="3" t="s">
        <v>4</v>
      </c>
      <c r="D300" s="99" t="s">
        <v>239</v>
      </c>
      <c r="E300" s="58"/>
    </row>
    <row r="301" spans="3:31">
      <c r="C301" s="3" t="s">
        <v>5</v>
      </c>
      <c r="D301" s="100" t="s">
        <v>240</v>
      </c>
      <c r="E301" s="58"/>
    </row>
    <row r="302" spans="3:31">
      <c r="C302" s="3" t="s">
        <v>6</v>
      </c>
      <c r="D302" s="40" t="s">
        <v>241</v>
      </c>
      <c r="E302" s="58"/>
    </row>
    <row r="303" spans="3:31">
      <c r="C303" s="3" t="s">
        <v>7</v>
      </c>
      <c r="D303" s="99" t="s">
        <v>242</v>
      </c>
      <c r="E303" s="58"/>
      <c r="AB303" s="42" t="s">
        <v>104</v>
      </c>
      <c r="AE303" s="2" t="s">
        <v>47</v>
      </c>
    </row>
    <row r="304" spans="3:31" ht="6.75" customHeight="1">
      <c r="C304" s="4"/>
      <c r="D304" s="40"/>
      <c r="E304" s="58"/>
      <c r="AB304" s="42"/>
    </row>
    <row r="305" spans="1:39" ht="15">
      <c r="A305" s="2" t="s">
        <v>20</v>
      </c>
      <c r="B305" s="14" t="s">
        <v>34</v>
      </c>
      <c r="C305" s="3" t="s">
        <v>8</v>
      </c>
      <c r="D305" s="2" t="s">
        <v>1</v>
      </c>
      <c r="E305" s="57">
        <f>SUM(E308:E316)</f>
        <v>18.799999999999997</v>
      </c>
      <c r="M305" s="6" t="s">
        <v>12</v>
      </c>
      <c r="O305" s="6" t="s">
        <v>13</v>
      </c>
      <c r="Q305" s="6" t="s">
        <v>14</v>
      </c>
      <c r="S305" s="6" t="s">
        <v>15</v>
      </c>
      <c r="U305" s="6" t="s">
        <v>16</v>
      </c>
      <c r="W305" s="9" t="s">
        <v>17</v>
      </c>
      <c r="Y305" s="9" t="s">
        <v>18</v>
      </c>
      <c r="AB305" s="42" t="s">
        <v>105</v>
      </c>
      <c r="AC305" s="2" t="s">
        <v>19</v>
      </c>
      <c r="AE305" s="3" t="s">
        <v>4</v>
      </c>
      <c r="AF305" s="3" t="s">
        <v>5</v>
      </c>
      <c r="AG305" s="3" t="s">
        <v>6</v>
      </c>
      <c r="AH305" s="3" t="s">
        <v>7</v>
      </c>
      <c r="AI305" s="5" t="s">
        <v>2</v>
      </c>
      <c r="AJ305" s="12" t="s">
        <v>27</v>
      </c>
      <c r="AK305" s="12" t="s">
        <v>109</v>
      </c>
      <c r="AL305" s="2" t="s">
        <v>105</v>
      </c>
      <c r="AM305" s="2" t="s">
        <v>19</v>
      </c>
    </row>
    <row r="306" spans="1:39" ht="6.75" customHeight="1">
      <c r="C306" s="4"/>
      <c r="D306" s="40"/>
      <c r="E306" s="58"/>
    </row>
    <row r="307" spans="1:39" ht="15">
      <c r="D307" s="41" t="s">
        <v>107</v>
      </c>
      <c r="E307" s="59" t="s">
        <v>9</v>
      </c>
      <c r="G307" s="2" t="s">
        <v>21</v>
      </c>
      <c r="I307" s="2" t="s">
        <v>10</v>
      </c>
      <c r="K307" s="2" t="s">
        <v>11</v>
      </c>
    </row>
    <row r="308" spans="1:39">
      <c r="A308" s="2">
        <f>RANK(AC308,$AC$18:$AC$600,0)</f>
        <v>8</v>
      </c>
      <c r="B308" s="10">
        <v>11</v>
      </c>
      <c r="C308" s="4">
        <v>1</v>
      </c>
      <c r="D308" s="96" t="s">
        <v>164</v>
      </c>
      <c r="E308" s="60">
        <v>0.75</v>
      </c>
      <c r="G308" s="75">
        <f>_xlfn.IFS(I308="　",E308,IF(COUNTIF(D308,"*Acro-Pair*")&gt;=1,AND(I308="*")),"0.100",I308="*",0.5,I308="**",0)</f>
        <v>0.75</v>
      </c>
      <c r="I308" s="7" t="s">
        <v>22</v>
      </c>
      <c r="K308" s="56">
        <f>IF(D308="","",IF(COUNTIF(D308,"*HYB*")&gt;=1,$D$8,IF(AND(COUNTIF(D308,"*Acro*")&gt;=1),$E$8,IF(AND(COUNTIF(D308,"*TRE*")&gt;=1),$G$8))))</f>
        <v>0.2</v>
      </c>
      <c r="M308" s="13">
        <v>9</v>
      </c>
      <c r="O308" s="13">
        <v>9.5</v>
      </c>
      <c r="Q308" s="13">
        <v>9</v>
      </c>
      <c r="S308" s="13">
        <v>8</v>
      </c>
      <c r="U308" s="13">
        <v>7.5</v>
      </c>
      <c r="W308" s="9">
        <f>(SUM(M308:U308)-MAX(M308:U308)-MIN(M308:U308))/3</f>
        <v>8.6666666666666661</v>
      </c>
      <c r="Y308" s="9">
        <f>IF(D308="","",ROUND(W308*G308*K308,4))</f>
        <v>1.3</v>
      </c>
      <c r="AB308" s="55">
        <v>1.5</v>
      </c>
      <c r="AC308" s="64">
        <f>Y320+Y327-AB308-AB309</f>
        <v>162.0975</v>
      </c>
      <c r="AE308" s="37" t="str">
        <f>D300</f>
        <v>喜多方アーティスティックスイミングクラブ</v>
      </c>
      <c r="AF308" s="37" t="str">
        <f>D301</f>
        <v>喜多方アーティスティックスイミングクラブA</v>
      </c>
      <c r="AG308" s="37" t="str">
        <f>D302</f>
        <v>来藤らんらん/若藤わかな</v>
      </c>
      <c r="AH308" s="37" t="str">
        <f>D303</f>
        <v>らん</v>
      </c>
      <c r="AI308" s="66">
        <f>Y320</f>
        <v>65.722499999999997</v>
      </c>
      <c r="AJ308" s="39">
        <f>Y327</f>
        <v>97.875</v>
      </c>
      <c r="AK308" s="65">
        <f>AB308</f>
        <v>1.5</v>
      </c>
      <c r="AL308" s="65">
        <f>AB309</f>
        <v>0</v>
      </c>
      <c r="AM308" s="64">
        <f>AC308</f>
        <v>162.0975</v>
      </c>
    </row>
    <row r="309" spans="1:39">
      <c r="C309" s="4">
        <v>2</v>
      </c>
      <c r="D309" s="96" t="s">
        <v>164</v>
      </c>
      <c r="E309" s="60">
        <v>5.95</v>
      </c>
      <c r="G309" s="75">
        <f t="shared" ref="G309:G316" si="41">_xlfn.IFS(I309="　",E309,IF(COUNTIF(D309,"*Acro-Pair*")&gt;=1,AND(I309="*")),"0.100",I309="*",0.5,I309="**",0)</f>
        <v>5.95</v>
      </c>
      <c r="I309" s="7" t="s">
        <v>22</v>
      </c>
      <c r="K309" s="56">
        <f t="shared" ref="K309:K316" si="42">IF(D309="","",IF(COUNTIF(D309,"*HYB*")&gt;=1,$D$8,IF(AND(COUNTIF(D309,"*Acro*")&gt;=1),$E$8,IF(AND(COUNTIF(D309,"*TRE*")&gt;=1),$G$8))))</f>
        <v>0.2</v>
      </c>
      <c r="M309" s="13">
        <v>7.25</v>
      </c>
      <c r="O309" s="13">
        <v>6.25</v>
      </c>
      <c r="Q309" s="13">
        <v>6.5</v>
      </c>
      <c r="S309" s="13">
        <v>7.25</v>
      </c>
      <c r="U309" s="13">
        <v>7</v>
      </c>
      <c r="W309" s="9">
        <f t="shared" ref="W309:W316" si="43">(SUM(M309:U309)-MAX(M309:U309)-MIN(M309:U309))/3</f>
        <v>6.916666666666667</v>
      </c>
      <c r="Y309" s="9">
        <f t="shared" ref="Y309:Y316" si="44">IF(D309="","",ROUND(W309*G309*K309,4))</f>
        <v>8.2308000000000003</v>
      </c>
      <c r="AB309" s="55"/>
    </row>
    <row r="310" spans="1:39">
      <c r="C310" s="4">
        <v>3</v>
      </c>
      <c r="D310" s="96" t="s">
        <v>206</v>
      </c>
      <c r="E310" s="60">
        <v>2.1</v>
      </c>
      <c r="G310" s="75">
        <f t="shared" si="41"/>
        <v>2.1</v>
      </c>
      <c r="I310" s="7" t="s">
        <v>22</v>
      </c>
      <c r="K310" s="56">
        <f t="shared" si="42"/>
        <v>1</v>
      </c>
      <c r="M310" s="13">
        <v>8.75</v>
      </c>
      <c r="O310" s="13">
        <v>8.25</v>
      </c>
      <c r="Q310" s="13">
        <v>8.5</v>
      </c>
      <c r="S310" s="13">
        <v>7</v>
      </c>
      <c r="U310" s="13">
        <v>7.5</v>
      </c>
      <c r="W310" s="9">
        <f t="shared" si="43"/>
        <v>8.0833333333333339</v>
      </c>
      <c r="Y310" s="9">
        <f t="shared" si="44"/>
        <v>16.975000000000001</v>
      </c>
    </row>
    <row r="311" spans="1:39">
      <c r="C311" s="4">
        <v>4</v>
      </c>
      <c r="D311" s="96" t="s">
        <v>207</v>
      </c>
      <c r="E311" s="60">
        <v>0.6</v>
      </c>
      <c r="G311" s="75">
        <f t="shared" si="41"/>
        <v>0.6</v>
      </c>
      <c r="I311" s="7" t="s">
        <v>22</v>
      </c>
      <c r="K311" s="56">
        <f t="shared" si="42"/>
        <v>0.8</v>
      </c>
      <c r="M311" s="13">
        <v>6.75</v>
      </c>
      <c r="O311" s="13">
        <v>6</v>
      </c>
      <c r="Q311" s="13">
        <v>6.25</v>
      </c>
      <c r="S311" s="13">
        <v>7.25</v>
      </c>
      <c r="U311" s="13">
        <v>7</v>
      </c>
      <c r="W311" s="9">
        <f t="shared" si="43"/>
        <v>6.666666666666667</v>
      </c>
      <c r="Y311" s="9">
        <f t="shared" si="44"/>
        <v>3.2</v>
      </c>
    </row>
    <row r="312" spans="1:39">
      <c r="C312" s="4">
        <v>5</v>
      </c>
      <c r="D312" s="96" t="s">
        <v>206</v>
      </c>
      <c r="E312" s="60">
        <v>2.1</v>
      </c>
      <c r="G312" s="75">
        <f t="shared" si="41"/>
        <v>2.1</v>
      </c>
      <c r="I312" s="7" t="s">
        <v>22</v>
      </c>
      <c r="K312" s="56">
        <f t="shared" si="42"/>
        <v>1</v>
      </c>
      <c r="M312" s="13">
        <v>8.5</v>
      </c>
      <c r="O312" s="13">
        <v>6.5</v>
      </c>
      <c r="Q312" s="13">
        <v>7.75</v>
      </c>
      <c r="S312" s="13">
        <v>6.5</v>
      </c>
      <c r="U312" s="13">
        <v>6.25</v>
      </c>
      <c r="W312" s="9">
        <f t="shared" si="43"/>
        <v>6.916666666666667</v>
      </c>
      <c r="Y312" s="9">
        <f t="shared" si="44"/>
        <v>14.525</v>
      </c>
    </row>
    <row r="313" spans="1:39">
      <c r="C313" s="4">
        <v>6</v>
      </c>
      <c r="D313" s="96" t="s">
        <v>208</v>
      </c>
      <c r="E313" s="60">
        <v>2.7</v>
      </c>
      <c r="G313" s="75">
        <f t="shared" si="41"/>
        <v>2.7</v>
      </c>
      <c r="I313" s="7" t="s">
        <v>22</v>
      </c>
      <c r="K313" s="56">
        <f t="shared" si="42"/>
        <v>1</v>
      </c>
      <c r="M313" s="13">
        <v>6.75</v>
      </c>
      <c r="O313" s="13">
        <v>6</v>
      </c>
      <c r="Q313" s="13">
        <v>6.75</v>
      </c>
      <c r="S313" s="13">
        <v>7</v>
      </c>
      <c r="U313" s="13">
        <v>6.75</v>
      </c>
      <c r="W313" s="9">
        <f t="shared" si="43"/>
        <v>6.75</v>
      </c>
      <c r="Y313" s="9">
        <f t="shared" si="44"/>
        <v>18.225000000000001</v>
      </c>
    </row>
    <row r="314" spans="1:39">
      <c r="C314" s="4">
        <v>7</v>
      </c>
      <c r="D314" s="96" t="s">
        <v>283</v>
      </c>
      <c r="E314" s="60">
        <v>1.2</v>
      </c>
      <c r="G314" s="75">
        <f t="shared" si="41"/>
        <v>1.2</v>
      </c>
      <c r="I314" s="7" t="s">
        <v>22</v>
      </c>
      <c r="K314" s="56">
        <f t="shared" si="42"/>
        <v>0.8</v>
      </c>
      <c r="M314" s="13">
        <v>8</v>
      </c>
      <c r="O314" s="13">
        <v>6</v>
      </c>
      <c r="Q314" s="13">
        <v>7</v>
      </c>
      <c r="S314" s="13">
        <v>7</v>
      </c>
      <c r="U314" s="13">
        <v>6.75</v>
      </c>
      <c r="W314" s="9">
        <f t="shared" si="43"/>
        <v>6.916666666666667</v>
      </c>
      <c r="Y314" s="9">
        <f t="shared" si="44"/>
        <v>6.64</v>
      </c>
    </row>
    <row r="315" spans="1:39">
      <c r="C315" s="4">
        <v>8</v>
      </c>
      <c r="D315" s="96" t="s">
        <v>164</v>
      </c>
      <c r="E315" s="60">
        <v>2.7</v>
      </c>
      <c r="G315" s="75">
        <f t="shared" si="41"/>
        <v>2.7</v>
      </c>
      <c r="I315" s="7" t="s">
        <v>22</v>
      </c>
      <c r="K315" s="56">
        <f t="shared" si="42"/>
        <v>0.2</v>
      </c>
      <c r="M315" s="13">
        <v>7</v>
      </c>
      <c r="O315" s="13">
        <v>6</v>
      </c>
      <c r="Q315" s="13">
        <v>6.25</v>
      </c>
      <c r="S315" s="13">
        <v>6.75</v>
      </c>
      <c r="U315" s="13">
        <v>6.5</v>
      </c>
      <c r="W315" s="9">
        <f t="shared" si="43"/>
        <v>6.5</v>
      </c>
      <c r="Y315" s="9">
        <f t="shared" si="44"/>
        <v>3.51</v>
      </c>
    </row>
    <row r="316" spans="1:39">
      <c r="C316" s="4">
        <v>9</v>
      </c>
      <c r="D316" s="96" t="s">
        <v>164</v>
      </c>
      <c r="E316" s="60">
        <v>0.7</v>
      </c>
      <c r="G316" s="75">
        <f t="shared" si="41"/>
        <v>0.7</v>
      </c>
      <c r="I316" s="7" t="s">
        <v>22</v>
      </c>
      <c r="K316" s="56">
        <f t="shared" si="42"/>
        <v>0.2</v>
      </c>
      <c r="M316" s="13">
        <v>5</v>
      </c>
      <c r="O316" s="13">
        <v>5</v>
      </c>
      <c r="Q316" s="13">
        <v>6</v>
      </c>
      <c r="S316" s="13">
        <v>6.75</v>
      </c>
      <c r="U316" s="13">
        <v>6.5</v>
      </c>
      <c r="W316" s="9">
        <f t="shared" si="43"/>
        <v>5.833333333333333</v>
      </c>
      <c r="Y316" s="9">
        <f t="shared" si="44"/>
        <v>0.81669999999999998</v>
      </c>
    </row>
    <row r="317" spans="1:39">
      <c r="U317" s="11" t="s">
        <v>23</v>
      </c>
      <c r="Y317" s="9">
        <f>SUM(Y308:Y316)</f>
        <v>73.422499999999999</v>
      </c>
    </row>
    <row r="318" spans="1:39">
      <c r="C318" s="8" t="s">
        <v>163</v>
      </c>
      <c r="U318" s="11" t="s">
        <v>24</v>
      </c>
      <c r="Y318" s="27">
        <v>7.7</v>
      </c>
    </row>
    <row r="319" spans="1:39">
      <c r="U319" s="11" t="s">
        <v>25</v>
      </c>
      <c r="Y319" s="27"/>
    </row>
    <row r="320" spans="1:39">
      <c r="U320" s="11" t="s">
        <v>26</v>
      </c>
      <c r="Y320" s="9">
        <f>Y317-Y318-Y319</f>
        <v>65.722499999999997</v>
      </c>
    </row>
    <row r="321" spans="1:39" ht="15">
      <c r="D321" s="12" t="s">
        <v>27</v>
      </c>
      <c r="U321" s="11"/>
    </row>
    <row r="322" spans="1:39">
      <c r="D322" s="2" t="s">
        <v>28</v>
      </c>
      <c r="K322" s="62">
        <f>$H$8</f>
        <v>1.5</v>
      </c>
      <c r="M322" s="13">
        <v>8.25</v>
      </c>
      <c r="O322" s="13">
        <v>7.25</v>
      </c>
      <c r="Q322" s="13">
        <v>7.75</v>
      </c>
      <c r="S322" s="13">
        <v>7.25</v>
      </c>
      <c r="U322" s="13">
        <v>7.75</v>
      </c>
      <c r="Y322" s="9">
        <f>ROUND((SUM(M322:U322)-MAX(M322:U322)-MIN(M322:U322))*K322,4)</f>
        <v>34.125</v>
      </c>
    </row>
    <row r="323" spans="1:39">
      <c r="D323" s="2" t="s">
        <v>29</v>
      </c>
      <c r="K323" s="62">
        <f>$K$8</f>
        <v>1.3</v>
      </c>
      <c r="M323" s="13">
        <v>7.5</v>
      </c>
      <c r="O323" s="13">
        <v>7.5</v>
      </c>
      <c r="Q323" s="13">
        <v>7.5</v>
      </c>
      <c r="S323" s="13">
        <v>6.75</v>
      </c>
      <c r="U323" s="13">
        <v>7.75</v>
      </c>
      <c r="Y323" s="9">
        <f>ROUND((SUM(M323:U323)-MAX(M323:U323)-MIN(M323:U323))*K323,4)</f>
        <v>29.25</v>
      </c>
    </row>
    <row r="324" spans="1:39">
      <c r="D324" s="2" t="s">
        <v>30</v>
      </c>
      <c r="K324" s="62">
        <f>$N$8</f>
        <v>1.5</v>
      </c>
      <c r="M324" s="13">
        <v>7.75</v>
      </c>
      <c r="O324" s="13">
        <v>7.75</v>
      </c>
      <c r="Q324" s="13">
        <v>7.5</v>
      </c>
      <c r="S324" s="13">
        <v>7</v>
      </c>
      <c r="U324" s="13">
        <v>7.75</v>
      </c>
      <c r="Y324" s="9">
        <f>ROUND((SUM(M324:U324)-MAX(M324:U324)-MIN(M324:U324))*K324,4)</f>
        <v>34.5</v>
      </c>
    </row>
    <row r="325" spans="1:39">
      <c r="U325" s="11" t="s">
        <v>31</v>
      </c>
      <c r="Y325" s="9">
        <f>SUM(Y322:Y324)</f>
        <v>97.875</v>
      </c>
    </row>
    <row r="326" spans="1:39">
      <c r="U326" s="11" t="s">
        <v>32</v>
      </c>
      <c r="Y326" s="27"/>
    </row>
    <row r="327" spans="1:39">
      <c r="U327" s="11" t="s">
        <v>33</v>
      </c>
      <c r="Y327" s="9">
        <f>Y325-Y326</f>
        <v>97.875</v>
      </c>
    </row>
    <row r="329" spans="1:39">
      <c r="C329" s="3" t="s">
        <v>4</v>
      </c>
      <c r="D329" s="99" t="s">
        <v>236</v>
      </c>
      <c r="E329" s="58"/>
    </row>
    <row r="330" spans="1:39">
      <c r="C330" s="3" t="s">
        <v>5</v>
      </c>
      <c r="D330" s="100" t="s">
        <v>237</v>
      </c>
      <c r="E330" s="58"/>
    </row>
    <row r="331" spans="1:39">
      <c r="C331" s="3" t="s">
        <v>6</v>
      </c>
      <c r="D331" s="99" t="s">
        <v>238</v>
      </c>
      <c r="E331" s="58"/>
    </row>
    <row r="332" spans="1:39">
      <c r="C332" s="3" t="s">
        <v>7</v>
      </c>
      <c r="D332" s="100"/>
      <c r="E332" s="58"/>
      <c r="AB332" s="42" t="s">
        <v>104</v>
      </c>
      <c r="AE332" s="2" t="s">
        <v>47</v>
      </c>
    </row>
    <row r="333" spans="1:39" ht="6.75" customHeight="1">
      <c r="C333" s="4"/>
      <c r="D333" s="40"/>
      <c r="E333" s="58"/>
      <c r="AB333" s="42"/>
    </row>
    <row r="334" spans="1:39" ht="15">
      <c r="A334" s="2" t="s">
        <v>20</v>
      </c>
      <c r="B334" s="14" t="s">
        <v>34</v>
      </c>
      <c r="C334" s="3" t="s">
        <v>8</v>
      </c>
      <c r="D334" s="2" t="s">
        <v>1</v>
      </c>
      <c r="E334" s="57">
        <f>SUM(E337:E345)</f>
        <v>18.799999999999997</v>
      </c>
      <c r="M334" s="6" t="s">
        <v>12</v>
      </c>
      <c r="O334" s="6" t="s">
        <v>13</v>
      </c>
      <c r="Q334" s="6" t="s">
        <v>14</v>
      </c>
      <c r="S334" s="6" t="s">
        <v>15</v>
      </c>
      <c r="U334" s="6" t="s">
        <v>16</v>
      </c>
      <c r="W334" s="9" t="s">
        <v>17</v>
      </c>
      <c r="Y334" s="9" t="s">
        <v>18</v>
      </c>
      <c r="AB334" s="42" t="s">
        <v>105</v>
      </c>
      <c r="AC334" s="2" t="s">
        <v>19</v>
      </c>
      <c r="AE334" s="3" t="s">
        <v>4</v>
      </c>
      <c r="AF334" s="3" t="s">
        <v>5</v>
      </c>
      <c r="AG334" s="3" t="s">
        <v>6</v>
      </c>
      <c r="AH334" s="3" t="s">
        <v>7</v>
      </c>
      <c r="AI334" s="5" t="s">
        <v>2</v>
      </c>
      <c r="AJ334" s="12" t="s">
        <v>27</v>
      </c>
      <c r="AK334" s="12" t="s">
        <v>109</v>
      </c>
      <c r="AL334" s="2" t="s">
        <v>105</v>
      </c>
      <c r="AM334" s="2" t="s">
        <v>19</v>
      </c>
    </row>
    <row r="335" spans="1:39" ht="6.75" customHeight="1">
      <c r="C335" s="4"/>
      <c r="D335" s="40"/>
      <c r="E335" s="58"/>
    </row>
    <row r="336" spans="1:39" ht="15">
      <c r="D336" s="41" t="s">
        <v>107</v>
      </c>
      <c r="E336" s="59" t="s">
        <v>9</v>
      </c>
      <c r="G336" s="2" t="s">
        <v>21</v>
      </c>
      <c r="I336" s="2" t="s">
        <v>10</v>
      </c>
      <c r="K336" s="2" t="s">
        <v>11</v>
      </c>
    </row>
    <row r="337" spans="1:39">
      <c r="A337" s="2">
        <f>RANK(AC337,$AC$18:$AC$600,0)</f>
        <v>12</v>
      </c>
      <c r="B337" s="10">
        <v>12</v>
      </c>
      <c r="C337" s="4">
        <v>1</v>
      </c>
      <c r="D337" s="96" t="s">
        <v>164</v>
      </c>
      <c r="E337" s="60">
        <v>0.75</v>
      </c>
      <c r="G337" s="75">
        <f>_xlfn.IFS(I337="　",E337,IF(COUNTIF(D337,"*Acro-Pair*")&gt;=1,AND(I337="*")),"0.100",I337="*",0.5,I337="**",0)</f>
        <v>0.75</v>
      </c>
      <c r="I337" s="7" t="s">
        <v>22</v>
      </c>
      <c r="K337" s="56">
        <f>IF(D337="","",IF(COUNTIF(D337,"*HYB*")&gt;=1,$D$8,IF(AND(COUNTIF(D337,"*Acro*")&gt;=1),$E$8,IF(AND(COUNTIF(D337,"*TRE*")&gt;=1),$G$8))))</f>
        <v>0.2</v>
      </c>
      <c r="M337" s="13">
        <v>9</v>
      </c>
      <c r="O337" s="13">
        <v>9.5</v>
      </c>
      <c r="Q337" s="13">
        <v>9</v>
      </c>
      <c r="S337" s="13">
        <v>8</v>
      </c>
      <c r="U337" s="13">
        <v>7.5</v>
      </c>
      <c r="W337" s="9">
        <f>(SUM(M337:U337)-MAX(M337:U337)-MIN(M337:U337))/3</f>
        <v>8.6666666666666661</v>
      </c>
      <c r="Y337" s="9">
        <f>IF(D337="","",ROUND(W337*G337*K337,4))</f>
        <v>1.3</v>
      </c>
      <c r="AB337" s="55">
        <v>1.5</v>
      </c>
      <c r="AC337" s="64">
        <f>Y349+Y356-AB337-AB338</f>
        <v>161.45910000000001</v>
      </c>
      <c r="AE337" s="37" t="str">
        <f>D329</f>
        <v>桜島アーティスティックスイミングクラブ</v>
      </c>
      <c r="AF337" s="37" t="str">
        <f>D330</f>
        <v>桜島アーティスティックスイミングクラブA</v>
      </c>
      <c r="AG337" s="37" t="str">
        <f>D331</f>
        <v>藤らん/藤わか</v>
      </c>
      <c r="AH337" s="37">
        <f>D332</f>
        <v>0</v>
      </c>
      <c r="AI337" s="66">
        <f>Y349</f>
        <v>65.084100000000007</v>
      </c>
      <c r="AJ337" s="39">
        <f>Y356</f>
        <v>97.875</v>
      </c>
      <c r="AK337" s="65">
        <f>AB337</f>
        <v>1.5</v>
      </c>
      <c r="AL337" s="65">
        <f>AB338</f>
        <v>0</v>
      </c>
      <c r="AM337" s="64">
        <f>AC337</f>
        <v>161.45910000000001</v>
      </c>
    </row>
    <row r="338" spans="1:39">
      <c r="C338" s="4">
        <v>2</v>
      </c>
      <c r="D338" s="96" t="s">
        <v>164</v>
      </c>
      <c r="E338" s="60">
        <v>5.95</v>
      </c>
      <c r="G338" s="75">
        <f t="shared" ref="G338:G345" si="45">_xlfn.IFS(I338="　",E338,IF(COUNTIF(D338,"*Acro-Pair*")&gt;=1,AND(I338="*")),"0.100",I338="*",0.5,I338="**",0)</f>
        <v>5.95</v>
      </c>
      <c r="I338" s="7" t="s">
        <v>22</v>
      </c>
      <c r="K338" s="56">
        <f t="shared" ref="K338:K345" si="46">IF(D338="","",IF(COUNTIF(D338,"*HYB*")&gt;=1,$D$8,IF(AND(COUNTIF(D338,"*Acro*")&gt;=1),$E$8,IF(AND(COUNTIF(D338,"*TRE*")&gt;=1),$G$8))))</f>
        <v>0.2</v>
      </c>
      <c r="M338" s="13">
        <v>7.25</v>
      </c>
      <c r="O338" s="13">
        <v>6.25</v>
      </c>
      <c r="Q338" s="13">
        <v>6.5</v>
      </c>
      <c r="S338" s="13">
        <v>7.25</v>
      </c>
      <c r="U338" s="13">
        <v>7</v>
      </c>
      <c r="W338" s="9">
        <f t="shared" ref="W338:W345" si="47">(SUM(M338:U338)-MAX(M338:U338)-MIN(M338:U338))/3</f>
        <v>6.916666666666667</v>
      </c>
      <c r="Y338" s="9">
        <f t="shared" ref="Y338:Y345" si="48">IF(D338="","",ROUND(W338*G338*K338,4))</f>
        <v>8.2308000000000003</v>
      </c>
      <c r="AB338" s="55"/>
    </row>
    <row r="339" spans="1:39">
      <c r="C339" s="4">
        <v>3</v>
      </c>
      <c r="D339" s="96" t="s">
        <v>206</v>
      </c>
      <c r="E339" s="60">
        <v>2.1</v>
      </c>
      <c r="G339" s="75">
        <f t="shared" si="45"/>
        <v>2.1</v>
      </c>
      <c r="I339" s="7" t="s">
        <v>22</v>
      </c>
      <c r="K339" s="56">
        <f t="shared" si="46"/>
        <v>1</v>
      </c>
      <c r="M339" s="13">
        <v>8.75</v>
      </c>
      <c r="O339" s="13">
        <v>8.25</v>
      </c>
      <c r="Q339" s="13">
        <v>8.5</v>
      </c>
      <c r="S339" s="13">
        <v>7</v>
      </c>
      <c r="U339" s="13">
        <v>7.5</v>
      </c>
      <c r="W339" s="9">
        <f t="shared" si="47"/>
        <v>8.0833333333333339</v>
      </c>
      <c r="Y339" s="9">
        <f t="shared" si="48"/>
        <v>16.975000000000001</v>
      </c>
    </row>
    <row r="340" spans="1:39">
      <c r="C340" s="4">
        <v>4</v>
      </c>
      <c r="D340" s="96" t="s">
        <v>207</v>
      </c>
      <c r="E340" s="60">
        <v>0.6</v>
      </c>
      <c r="G340" s="75">
        <f t="shared" si="45"/>
        <v>0.6</v>
      </c>
      <c r="I340" s="7" t="s">
        <v>22</v>
      </c>
      <c r="K340" s="56">
        <f t="shared" si="46"/>
        <v>0.8</v>
      </c>
      <c r="M340" s="13">
        <v>7</v>
      </c>
      <c r="O340" s="13">
        <v>7</v>
      </c>
      <c r="Q340" s="13">
        <v>7</v>
      </c>
      <c r="S340" s="13">
        <v>7.25</v>
      </c>
      <c r="U340" s="13">
        <v>7</v>
      </c>
      <c r="W340" s="9">
        <f t="shared" si="47"/>
        <v>7</v>
      </c>
      <c r="Y340" s="9">
        <f t="shared" si="48"/>
        <v>3.36</v>
      </c>
    </row>
    <row r="341" spans="1:39">
      <c r="C341" s="4">
        <v>5</v>
      </c>
      <c r="D341" s="96" t="s">
        <v>206</v>
      </c>
      <c r="E341" s="60">
        <v>2.1</v>
      </c>
      <c r="G341" s="75">
        <f t="shared" si="45"/>
        <v>2.1</v>
      </c>
      <c r="I341" s="7" t="s">
        <v>22</v>
      </c>
      <c r="K341" s="56">
        <f t="shared" si="46"/>
        <v>1</v>
      </c>
      <c r="M341" s="13">
        <v>8.5</v>
      </c>
      <c r="O341" s="13">
        <v>6.5</v>
      </c>
      <c r="Q341" s="13">
        <v>7.75</v>
      </c>
      <c r="S341" s="13">
        <v>6.5</v>
      </c>
      <c r="U341" s="13">
        <v>6.25</v>
      </c>
      <c r="W341" s="9">
        <f t="shared" si="47"/>
        <v>6.916666666666667</v>
      </c>
      <c r="Y341" s="9">
        <f t="shared" si="48"/>
        <v>14.525</v>
      </c>
    </row>
    <row r="342" spans="1:39">
      <c r="C342" s="4">
        <v>6</v>
      </c>
      <c r="D342" s="96" t="s">
        <v>208</v>
      </c>
      <c r="E342" s="60">
        <v>2.7</v>
      </c>
      <c r="G342" s="75">
        <f t="shared" si="45"/>
        <v>2.7</v>
      </c>
      <c r="I342" s="7" t="s">
        <v>22</v>
      </c>
      <c r="K342" s="56">
        <f t="shared" si="46"/>
        <v>1</v>
      </c>
      <c r="M342" s="13">
        <v>6.75</v>
      </c>
      <c r="O342" s="13">
        <v>6</v>
      </c>
      <c r="Q342" s="13">
        <v>6.75</v>
      </c>
      <c r="S342" s="13">
        <v>7</v>
      </c>
      <c r="U342" s="13">
        <v>6.75</v>
      </c>
      <c r="W342" s="9">
        <f t="shared" si="47"/>
        <v>6.75</v>
      </c>
      <c r="Y342" s="9">
        <f t="shared" si="48"/>
        <v>18.225000000000001</v>
      </c>
    </row>
    <row r="343" spans="1:39">
      <c r="C343" s="4">
        <v>7</v>
      </c>
      <c r="D343" s="96" t="s">
        <v>283</v>
      </c>
      <c r="E343" s="60">
        <v>1.2</v>
      </c>
      <c r="G343" s="75">
        <f t="shared" si="45"/>
        <v>1.2</v>
      </c>
      <c r="I343" s="7" t="s">
        <v>22</v>
      </c>
      <c r="K343" s="56">
        <f t="shared" si="46"/>
        <v>0.8</v>
      </c>
      <c r="M343" s="13">
        <v>6</v>
      </c>
      <c r="O343" s="13">
        <v>6</v>
      </c>
      <c r="Q343" s="13">
        <v>6</v>
      </c>
      <c r="S343" s="13">
        <v>6</v>
      </c>
      <c r="U343" s="13">
        <v>6</v>
      </c>
      <c r="W343" s="9">
        <f t="shared" si="47"/>
        <v>6</v>
      </c>
      <c r="Y343" s="9">
        <f t="shared" si="48"/>
        <v>5.76</v>
      </c>
    </row>
    <row r="344" spans="1:39">
      <c r="C344" s="4">
        <v>8</v>
      </c>
      <c r="D344" s="96" t="s">
        <v>164</v>
      </c>
      <c r="E344" s="60">
        <v>2.7</v>
      </c>
      <c r="G344" s="75">
        <f t="shared" si="45"/>
        <v>2.7</v>
      </c>
      <c r="I344" s="7" t="s">
        <v>22</v>
      </c>
      <c r="K344" s="56">
        <f t="shared" si="46"/>
        <v>0.2</v>
      </c>
      <c r="M344" s="13">
        <v>7</v>
      </c>
      <c r="O344" s="13">
        <v>6</v>
      </c>
      <c r="Q344" s="13">
        <v>6.25</v>
      </c>
      <c r="S344" s="13">
        <v>6.75</v>
      </c>
      <c r="U344" s="13">
        <v>6.5</v>
      </c>
      <c r="W344" s="9">
        <f t="shared" si="47"/>
        <v>6.5</v>
      </c>
      <c r="Y344" s="9">
        <f t="shared" si="48"/>
        <v>3.51</v>
      </c>
    </row>
    <row r="345" spans="1:39">
      <c r="C345" s="4">
        <v>9</v>
      </c>
      <c r="D345" s="96" t="s">
        <v>164</v>
      </c>
      <c r="E345" s="60">
        <v>0.7</v>
      </c>
      <c r="G345" s="75">
        <f t="shared" si="45"/>
        <v>0.7</v>
      </c>
      <c r="I345" s="7" t="s">
        <v>22</v>
      </c>
      <c r="K345" s="56">
        <f t="shared" si="46"/>
        <v>0.2</v>
      </c>
      <c r="M345" s="13">
        <v>6.75</v>
      </c>
      <c r="O345" s="13">
        <v>6</v>
      </c>
      <c r="Q345" s="13">
        <v>6</v>
      </c>
      <c r="S345" s="13">
        <v>6.75</v>
      </c>
      <c r="U345" s="13">
        <v>6.5</v>
      </c>
      <c r="W345" s="9">
        <f t="shared" si="47"/>
        <v>6.416666666666667</v>
      </c>
      <c r="Y345" s="9">
        <f t="shared" si="48"/>
        <v>0.89829999999999999</v>
      </c>
    </row>
    <row r="346" spans="1:39">
      <c r="U346" s="11" t="s">
        <v>23</v>
      </c>
      <c r="Y346" s="9">
        <f>SUM(Y337:Y345)</f>
        <v>72.784100000000009</v>
      </c>
    </row>
    <row r="347" spans="1:39">
      <c r="C347" s="8" t="s">
        <v>163</v>
      </c>
      <c r="U347" s="11" t="s">
        <v>24</v>
      </c>
      <c r="Y347" s="27">
        <v>7.7</v>
      </c>
    </row>
    <row r="348" spans="1:39">
      <c r="U348" s="11" t="s">
        <v>25</v>
      </c>
      <c r="Y348" s="27"/>
    </row>
    <row r="349" spans="1:39">
      <c r="U349" s="11" t="s">
        <v>26</v>
      </c>
      <c r="Y349" s="9">
        <f>Y346-Y347-Y348</f>
        <v>65.084100000000007</v>
      </c>
    </row>
    <row r="350" spans="1:39" ht="15">
      <c r="D350" s="12" t="s">
        <v>27</v>
      </c>
      <c r="U350" s="11"/>
    </row>
    <row r="351" spans="1:39">
      <c r="D351" s="2" t="s">
        <v>28</v>
      </c>
      <c r="K351" s="62">
        <f>$H$8</f>
        <v>1.5</v>
      </c>
      <c r="M351" s="13">
        <v>8.25</v>
      </c>
      <c r="O351" s="13">
        <v>7.25</v>
      </c>
      <c r="Q351" s="13">
        <v>7.75</v>
      </c>
      <c r="S351" s="13">
        <v>7.25</v>
      </c>
      <c r="U351" s="13">
        <v>7.75</v>
      </c>
      <c r="Y351" s="9">
        <f>ROUND((SUM(M351:U351)-MAX(M351:U351)-MIN(M351:U351))*K351,4)</f>
        <v>34.125</v>
      </c>
    </row>
    <row r="352" spans="1:39">
      <c r="D352" s="2" t="s">
        <v>29</v>
      </c>
      <c r="K352" s="62">
        <f>$K$8</f>
        <v>1.3</v>
      </c>
      <c r="M352" s="13">
        <v>7.5</v>
      </c>
      <c r="O352" s="13">
        <v>7.5</v>
      </c>
      <c r="Q352" s="13">
        <v>7.5</v>
      </c>
      <c r="S352" s="13">
        <v>6.75</v>
      </c>
      <c r="U352" s="13">
        <v>7.75</v>
      </c>
      <c r="Y352" s="9">
        <f>ROUND((SUM(M352:U352)-MAX(M352:U352)-MIN(M352:U352))*K352,4)</f>
        <v>29.25</v>
      </c>
    </row>
    <row r="353" spans="1:39">
      <c r="D353" s="2" t="s">
        <v>30</v>
      </c>
      <c r="K353" s="62">
        <f>$N$8</f>
        <v>1.5</v>
      </c>
      <c r="M353" s="13">
        <v>7.75</v>
      </c>
      <c r="O353" s="13">
        <v>7.75</v>
      </c>
      <c r="Q353" s="13">
        <v>7.5</v>
      </c>
      <c r="S353" s="13">
        <v>7</v>
      </c>
      <c r="U353" s="13">
        <v>7.75</v>
      </c>
      <c r="Y353" s="9">
        <f>ROUND((SUM(M353:U353)-MAX(M353:U353)-MIN(M353:U353))*K353,4)</f>
        <v>34.5</v>
      </c>
    </row>
    <row r="354" spans="1:39">
      <c r="U354" s="11" t="s">
        <v>31</v>
      </c>
      <c r="Y354" s="9">
        <f>SUM(Y351:Y353)</f>
        <v>97.875</v>
      </c>
    </row>
    <row r="355" spans="1:39">
      <c r="U355" s="11" t="s">
        <v>32</v>
      </c>
      <c r="Y355" s="27"/>
    </row>
    <row r="356" spans="1:39">
      <c r="U356" s="11" t="s">
        <v>33</v>
      </c>
      <c r="Y356" s="9">
        <f>Y354-Y355</f>
        <v>97.875</v>
      </c>
    </row>
    <row r="358" spans="1:39">
      <c r="C358" s="3" t="s">
        <v>4</v>
      </c>
      <c r="D358" s="99" t="s">
        <v>232</v>
      </c>
      <c r="E358" s="58"/>
    </row>
    <row r="359" spans="1:39">
      <c r="C359" s="3" t="s">
        <v>5</v>
      </c>
      <c r="D359" s="100" t="s">
        <v>233</v>
      </c>
      <c r="E359" s="58"/>
    </row>
    <row r="360" spans="1:39">
      <c r="C360" s="3" t="s">
        <v>6</v>
      </c>
      <c r="D360" s="100" t="s">
        <v>234</v>
      </c>
      <c r="E360" s="58"/>
    </row>
    <row r="361" spans="1:39">
      <c r="C361" s="3" t="s">
        <v>7</v>
      </c>
      <c r="D361" s="99" t="s">
        <v>235</v>
      </c>
      <c r="E361" s="58"/>
      <c r="AB361" s="42" t="s">
        <v>104</v>
      </c>
      <c r="AE361" s="2" t="s">
        <v>47</v>
      </c>
    </row>
    <row r="362" spans="1:39" ht="6.75" customHeight="1">
      <c r="C362" s="4"/>
      <c r="D362" s="40"/>
      <c r="E362" s="58"/>
      <c r="AB362" s="42"/>
    </row>
    <row r="363" spans="1:39" ht="15">
      <c r="A363" s="2" t="s">
        <v>20</v>
      </c>
      <c r="B363" s="14" t="s">
        <v>34</v>
      </c>
      <c r="C363" s="3" t="s">
        <v>8</v>
      </c>
      <c r="D363" s="2" t="s">
        <v>1</v>
      </c>
      <c r="E363" s="57">
        <f>SUM(E366:E374)</f>
        <v>18.799999999999997</v>
      </c>
      <c r="M363" s="6" t="s">
        <v>12</v>
      </c>
      <c r="O363" s="6" t="s">
        <v>13</v>
      </c>
      <c r="Q363" s="6" t="s">
        <v>14</v>
      </c>
      <c r="S363" s="6" t="s">
        <v>15</v>
      </c>
      <c r="U363" s="6" t="s">
        <v>16</v>
      </c>
      <c r="W363" s="9" t="s">
        <v>17</v>
      </c>
      <c r="Y363" s="9" t="s">
        <v>18</v>
      </c>
      <c r="AB363" s="42" t="s">
        <v>105</v>
      </c>
      <c r="AC363" s="2" t="s">
        <v>19</v>
      </c>
      <c r="AE363" s="3" t="s">
        <v>4</v>
      </c>
      <c r="AF363" s="3" t="s">
        <v>5</v>
      </c>
      <c r="AG363" s="3" t="s">
        <v>6</v>
      </c>
      <c r="AH363" s="3" t="s">
        <v>7</v>
      </c>
      <c r="AI363" s="5" t="s">
        <v>2</v>
      </c>
      <c r="AJ363" s="12" t="s">
        <v>27</v>
      </c>
      <c r="AK363" s="12" t="s">
        <v>109</v>
      </c>
      <c r="AL363" s="2" t="s">
        <v>105</v>
      </c>
      <c r="AM363" s="2" t="s">
        <v>19</v>
      </c>
    </row>
    <row r="364" spans="1:39" ht="6.75" customHeight="1">
      <c r="C364" s="4"/>
      <c r="D364" s="40"/>
      <c r="E364" s="58"/>
    </row>
    <row r="365" spans="1:39" ht="15">
      <c r="D365" s="41" t="s">
        <v>107</v>
      </c>
      <c r="E365" s="59" t="s">
        <v>9</v>
      </c>
      <c r="G365" s="2" t="s">
        <v>21</v>
      </c>
      <c r="I365" s="2" t="s">
        <v>10</v>
      </c>
      <c r="K365" s="2" t="s">
        <v>11</v>
      </c>
    </row>
    <row r="366" spans="1:39">
      <c r="A366" s="2">
        <f>RANK(AC366,$AC$18:$AC$600,0)</f>
        <v>5</v>
      </c>
      <c r="B366" s="10">
        <v>13</v>
      </c>
      <c r="C366" s="4">
        <v>1</v>
      </c>
      <c r="D366" s="96" t="s">
        <v>164</v>
      </c>
      <c r="E366" s="60">
        <v>0.75</v>
      </c>
      <c r="G366" s="75">
        <f>_xlfn.IFS(I366="　",E366,IF(COUNTIF(D366,"*Acro-Pair*")&gt;=1,AND(I366="*")),"0.100",I366="*",0.5,I366="**",0)</f>
        <v>0.75</v>
      </c>
      <c r="I366" s="7" t="s">
        <v>22</v>
      </c>
      <c r="K366" s="56">
        <f>IF(D366="","",IF(COUNTIF(D366,"*HYB*")&gt;=1,$D$8,IF(AND(COUNTIF(D366,"*Acro*")&gt;=1),$E$8,IF(AND(COUNTIF(D366,"*TRE*")&gt;=1),$G$8))))</f>
        <v>0.2</v>
      </c>
      <c r="M366" s="13">
        <v>9</v>
      </c>
      <c r="O366" s="13">
        <v>9.5</v>
      </c>
      <c r="Q366" s="13">
        <v>9</v>
      </c>
      <c r="S366" s="13">
        <v>8</v>
      </c>
      <c r="U366" s="13">
        <v>7.5</v>
      </c>
      <c r="W366" s="9">
        <f>(SUM(M366:U366)-MAX(M366:U366)-MIN(M366:U366))/3</f>
        <v>8.6666666666666661</v>
      </c>
      <c r="Y366" s="9">
        <f>IF(D366="","",ROUND(W366*G366*K366,4))</f>
        <v>1.3</v>
      </c>
      <c r="AB366" s="55">
        <v>1.5</v>
      </c>
      <c r="AC366" s="64">
        <f>Y378+Y385-AB366-AB367</f>
        <v>162.31909999999999</v>
      </c>
      <c r="AE366" s="37" t="str">
        <f>D358</f>
        <v>宇治アーティスティックスイミングクラブ</v>
      </c>
      <c r="AF366" s="37" t="str">
        <f>D359</f>
        <v>宇治アーティスティックスイミングクラブA</v>
      </c>
      <c r="AG366" s="37" t="str">
        <f>D360</f>
        <v>藤かみら/藤さゆり/藤たみこ/藤ななみ</v>
      </c>
      <c r="AH366" s="37" t="str">
        <f>D361</f>
        <v>安藤あいり</v>
      </c>
      <c r="AI366" s="66">
        <f>Y378</f>
        <v>65.944100000000006</v>
      </c>
      <c r="AJ366" s="39">
        <f>Y385</f>
        <v>97.875</v>
      </c>
      <c r="AK366" s="65">
        <f>AB366</f>
        <v>1.5</v>
      </c>
      <c r="AL366" s="65">
        <f>AB367</f>
        <v>0</v>
      </c>
      <c r="AM366" s="64">
        <f>AC366</f>
        <v>162.31909999999999</v>
      </c>
    </row>
    <row r="367" spans="1:39">
      <c r="C367" s="4">
        <v>2</v>
      </c>
      <c r="D367" s="96" t="s">
        <v>164</v>
      </c>
      <c r="E367" s="60">
        <v>5.95</v>
      </c>
      <c r="G367" s="75">
        <f t="shared" ref="G367:G374" si="49">_xlfn.IFS(I367="　",E367,IF(COUNTIF(D367,"*Acro-Pair*")&gt;=1,AND(I367="*")),"0.100",I367="*",0.5,I367="**",0)</f>
        <v>5.95</v>
      </c>
      <c r="I367" s="7" t="s">
        <v>22</v>
      </c>
      <c r="K367" s="56">
        <f t="shared" ref="K367:K374" si="50">IF(D367="","",IF(COUNTIF(D367,"*HYB*")&gt;=1,$D$8,IF(AND(COUNTIF(D367,"*Acro*")&gt;=1),$E$8,IF(AND(COUNTIF(D367,"*TRE*")&gt;=1),$G$8))))</f>
        <v>0.2</v>
      </c>
      <c r="M367" s="13">
        <v>7.25</v>
      </c>
      <c r="O367" s="13">
        <v>6.25</v>
      </c>
      <c r="Q367" s="13">
        <v>6.5</v>
      </c>
      <c r="S367" s="13">
        <v>7.25</v>
      </c>
      <c r="U367" s="13">
        <v>7</v>
      </c>
      <c r="W367" s="9">
        <f t="shared" ref="W367:W374" si="51">(SUM(M367:U367)-MAX(M367:U367)-MIN(M367:U367))/3</f>
        <v>6.916666666666667</v>
      </c>
      <c r="Y367" s="9">
        <f t="shared" ref="Y367:Y374" si="52">IF(D367="","",ROUND(W367*G367*K367,4))</f>
        <v>8.2308000000000003</v>
      </c>
      <c r="AB367" s="55"/>
    </row>
    <row r="368" spans="1:39">
      <c r="C368" s="4">
        <v>3</v>
      </c>
      <c r="D368" s="96" t="s">
        <v>206</v>
      </c>
      <c r="E368" s="60">
        <v>2.1</v>
      </c>
      <c r="G368" s="75">
        <f t="shared" si="49"/>
        <v>2.1</v>
      </c>
      <c r="I368" s="7" t="s">
        <v>22</v>
      </c>
      <c r="K368" s="56">
        <f t="shared" si="50"/>
        <v>1</v>
      </c>
      <c r="M368" s="13">
        <v>8.75</v>
      </c>
      <c r="O368" s="13">
        <v>8.25</v>
      </c>
      <c r="Q368" s="13">
        <v>8.5</v>
      </c>
      <c r="S368" s="13">
        <v>7</v>
      </c>
      <c r="U368" s="13">
        <v>7.5</v>
      </c>
      <c r="W368" s="9">
        <f t="shared" si="51"/>
        <v>8.0833333333333339</v>
      </c>
      <c r="Y368" s="9">
        <f t="shared" si="52"/>
        <v>16.975000000000001</v>
      </c>
    </row>
    <row r="369" spans="3:25">
      <c r="C369" s="4">
        <v>4</v>
      </c>
      <c r="D369" s="96" t="s">
        <v>207</v>
      </c>
      <c r="E369" s="60">
        <v>0.6</v>
      </c>
      <c r="G369" s="75">
        <f t="shared" si="49"/>
        <v>0.6</v>
      </c>
      <c r="I369" s="7" t="s">
        <v>22</v>
      </c>
      <c r="K369" s="56">
        <f t="shared" si="50"/>
        <v>0.8</v>
      </c>
      <c r="M369" s="13">
        <v>6.75</v>
      </c>
      <c r="O369" s="13">
        <v>6</v>
      </c>
      <c r="Q369" s="13">
        <v>6.25</v>
      </c>
      <c r="S369" s="13">
        <v>7.25</v>
      </c>
      <c r="U369" s="13">
        <v>7</v>
      </c>
      <c r="W369" s="9">
        <f t="shared" si="51"/>
        <v>6.666666666666667</v>
      </c>
      <c r="Y369" s="9">
        <f t="shared" si="52"/>
        <v>3.2</v>
      </c>
    </row>
    <row r="370" spans="3:25">
      <c r="C370" s="4">
        <v>5</v>
      </c>
      <c r="D370" s="96" t="s">
        <v>206</v>
      </c>
      <c r="E370" s="60">
        <v>2.1</v>
      </c>
      <c r="G370" s="75">
        <f t="shared" si="49"/>
        <v>2.1</v>
      </c>
      <c r="I370" s="7" t="s">
        <v>22</v>
      </c>
      <c r="K370" s="56">
        <f t="shared" si="50"/>
        <v>1</v>
      </c>
      <c r="M370" s="13">
        <v>8.5</v>
      </c>
      <c r="O370" s="13">
        <v>6.5</v>
      </c>
      <c r="Q370" s="13">
        <v>7.75</v>
      </c>
      <c r="S370" s="13">
        <v>6.5</v>
      </c>
      <c r="U370" s="13">
        <v>6.25</v>
      </c>
      <c r="W370" s="9">
        <f t="shared" si="51"/>
        <v>6.916666666666667</v>
      </c>
      <c r="Y370" s="9">
        <f t="shared" si="52"/>
        <v>14.525</v>
      </c>
    </row>
    <row r="371" spans="3:25">
      <c r="C371" s="4">
        <v>6</v>
      </c>
      <c r="D371" s="96" t="s">
        <v>208</v>
      </c>
      <c r="E371" s="60">
        <v>2.7</v>
      </c>
      <c r="G371" s="75">
        <f t="shared" si="49"/>
        <v>2.7</v>
      </c>
      <c r="I371" s="7" t="s">
        <v>22</v>
      </c>
      <c r="K371" s="56">
        <f t="shared" si="50"/>
        <v>1</v>
      </c>
      <c r="M371" s="13">
        <v>7</v>
      </c>
      <c r="O371" s="13">
        <v>7</v>
      </c>
      <c r="Q371" s="13">
        <v>7</v>
      </c>
      <c r="S371" s="13">
        <v>7</v>
      </c>
      <c r="U371" s="13">
        <v>7</v>
      </c>
      <c r="W371" s="9">
        <f t="shared" si="51"/>
        <v>7</v>
      </c>
      <c r="Y371" s="9">
        <f t="shared" si="52"/>
        <v>18.899999999999999</v>
      </c>
    </row>
    <row r="372" spans="3:25">
      <c r="C372" s="4">
        <v>7</v>
      </c>
      <c r="D372" s="96" t="s">
        <v>283</v>
      </c>
      <c r="E372" s="60">
        <v>1.2</v>
      </c>
      <c r="G372" s="75">
        <f t="shared" si="49"/>
        <v>1.2</v>
      </c>
      <c r="I372" s="7" t="s">
        <v>22</v>
      </c>
      <c r="K372" s="56">
        <f t="shared" si="50"/>
        <v>0.8</v>
      </c>
      <c r="M372" s="13">
        <v>6.5</v>
      </c>
      <c r="O372" s="13">
        <v>6.5</v>
      </c>
      <c r="Q372" s="13">
        <v>6.5</v>
      </c>
      <c r="S372" s="13">
        <v>6.5</v>
      </c>
      <c r="U372" s="13">
        <v>5.5</v>
      </c>
      <c r="W372" s="9">
        <f t="shared" si="51"/>
        <v>6.5</v>
      </c>
      <c r="Y372" s="9">
        <f t="shared" si="52"/>
        <v>6.24</v>
      </c>
    </row>
    <row r="373" spans="3:25">
      <c r="C373" s="4">
        <v>8</v>
      </c>
      <c r="D373" s="96" t="s">
        <v>164</v>
      </c>
      <c r="E373" s="60">
        <v>2.7</v>
      </c>
      <c r="G373" s="75">
        <f t="shared" si="49"/>
        <v>2.7</v>
      </c>
      <c r="I373" s="7" t="s">
        <v>22</v>
      </c>
      <c r="K373" s="56">
        <f t="shared" si="50"/>
        <v>0.2</v>
      </c>
      <c r="M373" s="13">
        <v>6</v>
      </c>
      <c r="O373" s="13">
        <v>6</v>
      </c>
      <c r="Q373" s="13">
        <v>6.25</v>
      </c>
      <c r="S373" s="13">
        <v>6.75</v>
      </c>
      <c r="U373" s="13">
        <v>6.5</v>
      </c>
      <c r="W373" s="9">
        <f t="shared" si="51"/>
        <v>6.25</v>
      </c>
      <c r="Y373" s="9">
        <f t="shared" si="52"/>
        <v>3.375</v>
      </c>
    </row>
    <row r="374" spans="3:25">
      <c r="C374" s="4">
        <v>9</v>
      </c>
      <c r="D374" s="96" t="s">
        <v>164</v>
      </c>
      <c r="E374" s="60">
        <v>0.7</v>
      </c>
      <c r="G374" s="75">
        <f t="shared" si="49"/>
        <v>0.7</v>
      </c>
      <c r="I374" s="7" t="s">
        <v>22</v>
      </c>
      <c r="K374" s="56">
        <f t="shared" si="50"/>
        <v>0.2</v>
      </c>
      <c r="M374" s="13">
        <v>6.75</v>
      </c>
      <c r="O374" s="13">
        <v>6</v>
      </c>
      <c r="Q374" s="13">
        <v>6</v>
      </c>
      <c r="S374" s="13">
        <v>6.75</v>
      </c>
      <c r="U374" s="13">
        <v>6.5</v>
      </c>
      <c r="W374" s="9">
        <f t="shared" si="51"/>
        <v>6.416666666666667</v>
      </c>
      <c r="Y374" s="9">
        <f t="shared" si="52"/>
        <v>0.89829999999999999</v>
      </c>
    </row>
    <row r="375" spans="3:25">
      <c r="U375" s="11" t="s">
        <v>23</v>
      </c>
      <c r="Y375" s="9">
        <f>SUM(Y366:Y374)</f>
        <v>73.644100000000009</v>
      </c>
    </row>
    <row r="376" spans="3:25">
      <c r="C376" s="8" t="s">
        <v>163</v>
      </c>
      <c r="U376" s="11" t="s">
        <v>24</v>
      </c>
      <c r="Y376" s="27">
        <v>7.7</v>
      </c>
    </row>
    <row r="377" spans="3:25">
      <c r="U377" s="11" t="s">
        <v>25</v>
      </c>
      <c r="Y377" s="27"/>
    </row>
    <row r="378" spans="3:25">
      <c r="U378" s="11" t="s">
        <v>26</v>
      </c>
      <c r="Y378" s="9">
        <f>Y375-Y376-Y377</f>
        <v>65.944100000000006</v>
      </c>
    </row>
    <row r="379" spans="3:25" ht="15">
      <c r="D379" s="12" t="s">
        <v>27</v>
      </c>
      <c r="U379" s="11"/>
    </row>
    <row r="380" spans="3:25">
      <c r="D380" s="2" t="s">
        <v>28</v>
      </c>
      <c r="K380" s="62">
        <f>$H$8</f>
        <v>1.5</v>
      </c>
      <c r="M380" s="13">
        <v>8.25</v>
      </c>
      <c r="O380" s="13">
        <v>7.25</v>
      </c>
      <c r="Q380" s="13">
        <v>7.75</v>
      </c>
      <c r="S380" s="13">
        <v>7.25</v>
      </c>
      <c r="U380" s="13">
        <v>7.75</v>
      </c>
      <c r="Y380" s="9">
        <f>ROUND((SUM(M380:U380)-MAX(M380:U380)-MIN(M380:U380))*K380,4)</f>
        <v>34.125</v>
      </c>
    </row>
    <row r="381" spans="3:25">
      <c r="D381" s="2" t="s">
        <v>29</v>
      </c>
      <c r="K381" s="62">
        <f>$K$8</f>
        <v>1.3</v>
      </c>
      <c r="M381" s="13">
        <v>7.5</v>
      </c>
      <c r="O381" s="13">
        <v>7.5</v>
      </c>
      <c r="Q381" s="13">
        <v>7.5</v>
      </c>
      <c r="S381" s="13">
        <v>6.75</v>
      </c>
      <c r="U381" s="13">
        <v>7.75</v>
      </c>
      <c r="Y381" s="9">
        <f>ROUND((SUM(M381:U381)-MAX(M381:U381)-MIN(M381:U381))*K381,4)</f>
        <v>29.25</v>
      </c>
    </row>
    <row r="382" spans="3:25">
      <c r="D382" s="2" t="s">
        <v>30</v>
      </c>
      <c r="K382" s="62">
        <f>$N$8</f>
        <v>1.5</v>
      </c>
      <c r="M382" s="13">
        <v>7.75</v>
      </c>
      <c r="O382" s="13">
        <v>7.75</v>
      </c>
      <c r="Q382" s="13">
        <v>7.5</v>
      </c>
      <c r="S382" s="13">
        <v>7</v>
      </c>
      <c r="U382" s="13">
        <v>7.75</v>
      </c>
      <c r="Y382" s="9">
        <f>ROUND((SUM(M382:U382)-MAX(M382:U382)-MIN(M382:U382))*K382,4)</f>
        <v>34.5</v>
      </c>
    </row>
    <row r="383" spans="3:25">
      <c r="U383" s="11" t="s">
        <v>31</v>
      </c>
      <c r="Y383" s="9">
        <f>SUM(Y380:Y382)</f>
        <v>97.875</v>
      </c>
    </row>
    <row r="384" spans="3:25">
      <c r="U384" s="11" t="s">
        <v>32</v>
      </c>
      <c r="Y384" s="27"/>
    </row>
    <row r="385" spans="1:39">
      <c r="U385" s="11" t="s">
        <v>33</v>
      </c>
      <c r="Y385" s="9">
        <f>Y383-Y384</f>
        <v>97.875</v>
      </c>
    </row>
    <row r="387" spans="1:39">
      <c r="C387" s="3" t="s">
        <v>4</v>
      </c>
      <c r="D387" s="99" t="s">
        <v>228</v>
      </c>
      <c r="E387" s="58"/>
    </row>
    <row r="388" spans="1:39">
      <c r="C388" s="3" t="s">
        <v>5</v>
      </c>
      <c r="D388" s="100" t="s">
        <v>229</v>
      </c>
      <c r="E388" s="58"/>
    </row>
    <row r="389" spans="1:39">
      <c r="C389" s="3" t="s">
        <v>6</v>
      </c>
      <c r="D389" s="100" t="s">
        <v>230</v>
      </c>
      <c r="E389" s="58"/>
    </row>
    <row r="390" spans="1:39">
      <c r="C390" s="3" t="s">
        <v>7</v>
      </c>
      <c r="D390" s="100" t="s">
        <v>231</v>
      </c>
      <c r="E390" s="58"/>
      <c r="AB390" s="42" t="s">
        <v>104</v>
      </c>
      <c r="AE390" s="2" t="s">
        <v>47</v>
      </c>
    </row>
    <row r="391" spans="1:39" ht="6.75" customHeight="1">
      <c r="C391" s="4"/>
      <c r="D391" s="40"/>
      <c r="E391" s="58"/>
      <c r="AB391" s="42"/>
    </row>
    <row r="392" spans="1:39" ht="15">
      <c r="A392" s="2" t="s">
        <v>20</v>
      </c>
      <c r="B392" s="14" t="s">
        <v>34</v>
      </c>
      <c r="C392" s="3" t="s">
        <v>8</v>
      </c>
      <c r="D392" s="2" t="s">
        <v>1</v>
      </c>
      <c r="E392" s="57">
        <f>SUM(E395:E403)</f>
        <v>18.799999999999997</v>
      </c>
      <c r="M392" s="6" t="s">
        <v>12</v>
      </c>
      <c r="O392" s="6" t="s">
        <v>13</v>
      </c>
      <c r="Q392" s="6" t="s">
        <v>14</v>
      </c>
      <c r="S392" s="6" t="s">
        <v>15</v>
      </c>
      <c r="U392" s="6" t="s">
        <v>16</v>
      </c>
      <c r="W392" s="9" t="s">
        <v>17</v>
      </c>
      <c r="Y392" s="9" t="s">
        <v>18</v>
      </c>
      <c r="AB392" s="42" t="s">
        <v>105</v>
      </c>
      <c r="AC392" s="2" t="s">
        <v>19</v>
      </c>
      <c r="AE392" s="3" t="s">
        <v>4</v>
      </c>
      <c r="AF392" s="3" t="s">
        <v>5</v>
      </c>
      <c r="AG392" s="3" t="s">
        <v>6</v>
      </c>
      <c r="AH392" s="3" t="s">
        <v>7</v>
      </c>
      <c r="AI392" s="5" t="s">
        <v>2</v>
      </c>
      <c r="AJ392" s="12" t="s">
        <v>27</v>
      </c>
      <c r="AK392" s="12" t="s">
        <v>109</v>
      </c>
      <c r="AL392" s="2" t="s">
        <v>105</v>
      </c>
      <c r="AM392" s="2" t="s">
        <v>19</v>
      </c>
    </row>
    <row r="393" spans="1:39" ht="6.75" customHeight="1">
      <c r="C393" s="4"/>
      <c r="D393" s="40"/>
      <c r="E393" s="58"/>
    </row>
    <row r="394" spans="1:39" ht="15">
      <c r="D394" s="41" t="s">
        <v>107</v>
      </c>
      <c r="E394" s="59" t="s">
        <v>9</v>
      </c>
      <c r="G394" s="2" t="s">
        <v>21</v>
      </c>
      <c r="I394" s="2" t="s">
        <v>10</v>
      </c>
      <c r="K394" s="2" t="s">
        <v>11</v>
      </c>
    </row>
    <row r="395" spans="1:39">
      <c r="A395" s="2">
        <f>RANK(AC395,$AC$18:$AC$600,0)</f>
        <v>6</v>
      </c>
      <c r="B395" s="10">
        <v>14</v>
      </c>
      <c r="C395" s="4">
        <v>1</v>
      </c>
      <c r="D395" s="96" t="s">
        <v>164</v>
      </c>
      <c r="E395" s="60">
        <v>0.75</v>
      </c>
      <c r="G395" s="75">
        <f>_xlfn.IFS(I395="　",E395,IF(COUNTIF(D395,"*Acro-Pair*")&gt;=1,AND(I395="*")),"0.100",I395="*",0.5,I395="**",0)</f>
        <v>0.75</v>
      </c>
      <c r="I395" s="7" t="s">
        <v>22</v>
      </c>
      <c r="K395" s="56">
        <f>IF(D395="","",IF(COUNTIF(D395,"*HYB*")&gt;=1,$D$8,IF(AND(COUNTIF(D395,"*Acro*")&gt;=1),$E$8,IF(AND(COUNTIF(D395,"*TRE*")&gt;=1),$G$8))))</f>
        <v>0.2</v>
      </c>
      <c r="M395" s="13">
        <v>9</v>
      </c>
      <c r="O395" s="13">
        <v>9.5</v>
      </c>
      <c r="Q395" s="13">
        <v>9</v>
      </c>
      <c r="S395" s="13">
        <v>8</v>
      </c>
      <c r="U395" s="13">
        <v>7.5</v>
      </c>
      <c r="W395" s="9">
        <f>(SUM(M395:U395)-MAX(M395:U395)-MIN(M395:U395))/3</f>
        <v>8.6666666666666661</v>
      </c>
      <c r="Y395" s="9">
        <f>IF(D395="","",ROUND(W395*G395*K395,4))</f>
        <v>1.3</v>
      </c>
      <c r="AB395" s="55">
        <v>1.5</v>
      </c>
      <c r="AC395" s="64">
        <f>Y407+Y414-AB395-AB396</f>
        <v>162.1808</v>
      </c>
      <c r="AE395" s="37" t="str">
        <f>D387</f>
        <v>関西アーティスティックスイミングクラブ</v>
      </c>
      <c r="AF395" s="37" t="str">
        <f>D388</f>
        <v>関西アーティスティックスイミングクラブA</v>
      </c>
      <c r="AG395" s="37" t="str">
        <f>D389</f>
        <v>安あいり/加かみら/佐さゆり/高たみこ</v>
      </c>
      <c r="AH395" s="37" t="str">
        <f>D390</f>
        <v>来らん/若わかな</v>
      </c>
      <c r="AI395" s="66">
        <f>Y407</f>
        <v>65.805800000000005</v>
      </c>
      <c r="AJ395" s="39">
        <f>Y414</f>
        <v>97.875</v>
      </c>
      <c r="AK395" s="65">
        <f>AB395</f>
        <v>1.5</v>
      </c>
      <c r="AL395" s="65">
        <f>AB396</f>
        <v>0</v>
      </c>
      <c r="AM395" s="64">
        <f>AC395</f>
        <v>162.1808</v>
      </c>
    </row>
    <row r="396" spans="1:39">
      <c r="C396" s="4">
        <v>2</v>
      </c>
      <c r="D396" s="96" t="s">
        <v>164</v>
      </c>
      <c r="E396" s="60">
        <v>5.95</v>
      </c>
      <c r="G396" s="75">
        <f t="shared" ref="G396:G403" si="53">_xlfn.IFS(I396="　",E396,IF(COUNTIF(D396,"*Acro-Pair*")&gt;=1,AND(I396="*")),"0.100",I396="*",0.5,I396="**",0)</f>
        <v>5.95</v>
      </c>
      <c r="I396" s="7" t="s">
        <v>22</v>
      </c>
      <c r="K396" s="56">
        <f t="shared" ref="K396:K403" si="54">IF(D396="","",IF(COUNTIF(D396,"*HYB*")&gt;=1,$D$8,IF(AND(COUNTIF(D396,"*Acro*")&gt;=1),$E$8,IF(AND(COUNTIF(D396,"*TRE*")&gt;=1),$G$8))))</f>
        <v>0.2</v>
      </c>
      <c r="M396" s="13">
        <v>7.25</v>
      </c>
      <c r="O396" s="13">
        <v>6.25</v>
      </c>
      <c r="Q396" s="13">
        <v>6.5</v>
      </c>
      <c r="S396" s="13">
        <v>7.25</v>
      </c>
      <c r="U396" s="13">
        <v>7</v>
      </c>
      <c r="W396" s="9">
        <f t="shared" ref="W396:W403" si="55">(SUM(M396:U396)-MAX(M396:U396)-MIN(M396:U396))/3</f>
        <v>6.916666666666667</v>
      </c>
      <c r="Y396" s="9">
        <f t="shared" ref="Y396:Y403" si="56">IF(D396="","",ROUND(W396*G396*K396,4))</f>
        <v>8.2308000000000003</v>
      </c>
      <c r="AB396" s="55"/>
    </row>
    <row r="397" spans="1:39">
      <c r="C397" s="4">
        <v>3</v>
      </c>
      <c r="D397" s="96" t="s">
        <v>206</v>
      </c>
      <c r="E397" s="60">
        <v>2.1</v>
      </c>
      <c r="G397" s="75">
        <f t="shared" si="53"/>
        <v>2.1</v>
      </c>
      <c r="I397" s="7" t="s">
        <v>22</v>
      </c>
      <c r="K397" s="56">
        <f t="shared" si="54"/>
        <v>1</v>
      </c>
      <c r="M397" s="13">
        <v>8.75</v>
      </c>
      <c r="O397" s="13">
        <v>8.25</v>
      </c>
      <c r="Q397" s="13">
        <v>8.5</v>
      </c>
      <c r="S397" s="13">
        <v>7</v>
      </c>
      <c r="U397" s="13">
        <v>7.5</v>
      </c>
      <c r="W397" s="9">
        <f t="shared" si="55"/>
        <v>8.0833333333333339</v>
      </c>
      <c r="Y397" s="9">
        <f t="shared" si="56"/>
        <v>16.975000000000001</v>
      </c>
    </row>
    <row r="398" spans="1:39">
      <c r="C398" s="4">
        <v>4</v>
      </c>
      <c r="D398" s="96" t="s">
        <v>207</v>
      </c>
      <c r="E398" s="60">
        <v>0.6</v>
      </c>
      <c r="G398" s="75">
        <f t="shared" si="53"/>
        <v>0.6</v>
      </c>
      <c r="I398" s="7" t="s">
        <v>22</v>
      </c>
      <c r="K398" s="56">
        <f t="shared" si="54"/>
        <v>0.8</v>
      </c>
      <c r="M398" s="13">
        <v>6.75</v>
      </c>
      <c r="O398" s="13">
        <v>6</v>
      </c>
      <c r="Q398" s="13">
        <v>6.25</v>
      </c>
      <c r="S398" s="13">
        <v>7.25</v>
      </c>
      <c r="U398" s="13">
        <v>7</v>
      </c>
      <c r="W398" s="9">
        <f t="shared" si="55"/>
        <v>6.666666666666667</v>
      </c>
      <c r="Y398" s="9">
        <f t="shared" si="56"/>
        <v>3.2</v>
      </c>
    </row>
    <row r="399" spans="1:39">
      <c r="C399" s="4">
        <v>5</v>
      </c>
      <c r="D399" s="96" t="s">
        <v>206</v>
      </c>
      <c r="E399" s="60">
        <v>2.1</v>
      </c>
      <c r="G399" s="75">
        <f t="shared" si="53"/>
        <v>2.1</v>
      </c>
      <c r="I399" s="7" t="s">
        <v>22</v>
      </c>
      <c r="K399" s="56">
        <f t="shared" si="54"/>
        <v>1</v>
      </c>
      <c r="M399" s="13">
        <v>8.5</v>
      </c>
      <c r="O399" s="13">
        <v>6.5</v>
      </c>
      <c r="Q399" s="13">
        <v>7.75</v>
      </c>
      <c r="S399" s="13">
        <v>6.5</v>
      </c>
      <c r="U399" s="13">
        <v>6.25</v>
      </c>
      <c r="W399" s="9">
        <f t="shared" si="55"/>
        <v>6.916666666666667</v>
      </c>
      <c r="Y399" s="9">
        <f t="shared" si="56"/>
        <v>14.525</v>
      </c>
    </row>
    <row r="400" spans="1:39">
      <c r="C400" s="4">
        <v>6</v>
      </c>
      <c r="D400" s="96" t="s">
        <v>208</v>
      </c>
      <c r="E400" s="60">
        <v>2.7</v>
      </c>
      <c r="G400" s="75">
        <f t="shared" si="53"/>
        <v>2.7</v>
      </c>
      <c r="I400" s="7" t="s">
        <v>22</v>
      </c>
      <c r="K400" s="56">
        <f t="shared" si="54"/>
        <v>1</v>
      </c>
      <c r="M400" s="13">
        <v>6.75</v>
      </c>
      <c r="O400" s="13">
        <v>6</v>
      </c>
      <c r="Q400" s="13">
        <v>6.75</v>
      </c>
      <c r="S400" s="13">
        <v>7</v>
      </c>
      <c r="U400" s="13">
        <v>6.75</v>
      </c>
      <c r="W400" s="9">
        <f t="shared" si="55"/>
        <v>6.75</v>
      </c>
      <c r="Y400" s="9">
        <f t="shared" si="56"/>
        <v>18.225000000000001</v>
      </c>
    </row>
    <row r="401" spans="3:25">
      <c r="C401" s="4">
        <v>7</v>
      </c>
      <c r="D401" s="96" t="s">
        <v>283</v>
      </c>
      <c r="E401" s="60">
        <v>1.2</v>
      </c>
      <c r="G401" s="75">
        <f t="shared" si="53"/>
        <v>1.2</v>
      </c>
      <c r="I401" s="7" t="s">
        <v>22</v>
      </c>
      <c r="K401" s="56">
        <f t="shared" si="54"/>
        <v>0.8</v>
      </c>
      <c r="M401" s="13">
        <v>7</v>
      </c>
      <c r="O401" s="13">
        <v>6.5</v>
      </c>
      <c r="Q401" s="13">
        <v>6.75</v>
      </c>
      <c r="S401" s="13">
        <v>7</v>
      </c>
      <c r="U401" s="13">
        <v>6.75</v>
      </c>
      <c r="W401" s="9">
        <f t="shared" si="55"/>
        <v>6.833333333333333</v>
      </c>
      <c r="Y401" s="9">
        <f t="shared" si="56"/>
        <v>6.56</v>
      </c>
    </row>
    <row r="402" spans="3:25">
      <c r="C402" s="4">
        <v>8</v>
      </c>
      <c r="D402" s="96" t="s">
        <v>164</v>
      </c>
      <c r="E402" s="60">
        <v>2.7</v>
      </c>
      <c r="G402" s="75">
        <f t="shared" si="53"/>
        <v>2.7</v>
      </c>
      <c r="I402" s="7" t="s">
        <v>22</v>
      </c>
      <c r="K402" s="56">
        <f t="shared" si="54"/>
        <v>0.2</v>
      </c>
      <c r="M402" s="13">
        <v>7</v>
      </c>
      <c r="O402" s="13">
        <v>6</v>
      </c>
      <c r="Q402" s="13">
        <v>6.25</v>
      </c>
      <c r="S402" s="13">
        <v>6.75</v>
      </c>
      <c r="U402" s="13">
        <v>6.5</v>
      </c>
      <c r="W402" s="9">
        <f t="shared" si="55"/>
        <v>6.5</v>
      </c>
      <c r="Y402" s="9">
        <f t="shared" si="56"/>
        <v>3.51</v>
      </c>
    </row>
    <row r="403" spans="3:25">
      <c r="C403" s="4">
        <v>9</v>
      </c>
      <c r="D403" s="96" t="s">
        <v>164</v>
      </c>
      <c r="E403" s="60">
        <v>0.7</v>
      </c>
      <c r="G403" s="75">
        <f t="shared" si="53"/>
        <v>0.7</v>
      </c>
      <c r="I403" s="7" t="s">
        <v>22</v>
      </c>
      <c r="K403" s="56">
        <f t="shared" si="54"/>
        <v>0.2</v>
      </c>
      <c r="M403" s="13">
        <v>7</v>
      </c>
      <c r="O403" s="13">
        <v>7</v>
      </c>
      <c r="Q403" s="13">
        <v>7</v>
      </c>
      <c r="S403" s="13">
        <v>7</v>
      </c>
      <c r="U403" s="13">
        <v>7</v>
      </c>
      <c r="W403" s="9">
        <f t="shared" si="55"/>
        <v>7</v>
      </c>
      <c r="Y403" s="9">
        <f t="shared" si="56"/>
        <v>0.98</v>
      </c>
    </row>
    <row r="404" spans="3:25">
      <c r="U404" s="11" t="s">
        <v>23</v>
      </c>
      <c r="Y404" s="9">
        <f>SUM(Y395:Y403)</f>
        <v>73.505800000000008</v>
      </c>
    </row>
    <row r="405" spans="3:25">
      <c r="C405" s="8" t="s">
        <v>163</v>
      </c>
      <c r="U405" s="11" t="s">
        <v>24</v>
      </c>
      <c r="Y405" s="27">
        <v>7.7</v>
      </c>
    </row>
    <row r="406" spans="3:25">
      <c r="U406" s="11" t="s">
        <v>25</v>
      </c>
      <c r="Y406" s="27"/>
    </row>
    <row r="407" spans="3:25">
      <c r="U407" s="11" t="s">
        <v>26</v>
      </c>
      <c r="Y407" s="9">
        <f>Y404-Y405-Y406</f>
        <v>65.805800000000005</v>
      </c>
    </row>
    <row r="408" spans="3:25" ht="15">
      <c r="D408" s="12" t="s">
        <v>27</v>
      </c>
      <c r="U408" s="11"/>
    </row>
    <row r="409" spans="3:25">
      <c r="D409" s="2" t="s">
        <v>28</v>
      </c>
      <c r="K409" s="62">
        <f>$H$8</f>
        <v>1.5</v>
      </c>
      <c r="M409" s="13">
        <v>8.25</v>
      </c>
      <c r="O409" s="13">
        <v>7.25</v>
      </c>
      <c r="Q409" s="13">
        <v>7.75</v>
      </c>
      <c r="S409" s="13">
        <v>7.25</v>
      </c>
      <c r="U409" s="13">
        <v>7.75</v>
      </c>
      <c r="Y409" s="9">
        <f>ROUND((SUM(M409:U409)-MAX(M409:U409)-MIN(M409:U409))*K409,4)</f>
        <v>34.125</v>
      </c>
    </row>
    <row r="410" spans="3:25">
      <c r="D410" s="2" t="s">
        <v>29</v>
      </c>
      <c r="K410" s="62">
        <f>$K$8</f>
        <v>1.3</v>
      </c>
      <c r="M410" s="13">
        <v>7.5</v>
      </c>
      <c r="O410" s="13">
        <v>7.5</v>
      </c>
      <c r="Q410" s="13">
        <v>7.5</v>
      </c>
      <c r="S410" s="13">
        <v>6.75</v>
      </c>
      <c r="U410" s="13">
        <v>7.75</v>
      </c>
      <c r="Y410" s="9">
        <f>ROUND((SUM(M410:U410)-MAX(M410:U410)-MIN(M410:U410))*K410,4)</f>
        <v>29.25</v>
      </c>
    </row>
    <row r="411" spans="3:25">
      <c r="D411" s="2" t="s">
        <v>30</v>
      </c>
      <c r="K411" s="62">
        <f>$N$8</f>
        <v>1.5</v>
      </c>
      <c r="M411" s="13">
        <v>7.75</v>
      </c>
      <c r="O411" s="13">
        <v>7.75</v>
      </c>
      <c r="Q411" s="13">
        <v>7.5</v>
      </c>
      <c r="S411" s="13">
        <v>7</v>
      </c>
      <c r="U411" s="13">
        <v>7.75</v>
      </c>
      <c r="Y411" s="9">
        <f>ROUND((SUM(M411:U411)-MAX(M411:U411)-MIN(M411:U411))*K411,4)</f>
        <v>34.5</v>
      </c>
    </row>
    <row r="412" spans="3:25">
      <c r="U412" s="11" t="s">
        <v>31</v>
      </c>
      <c r="Y412" s="9">
        <f>SUM(Y409:Y411)</f>
        <v>97.875</v>
      </c>
    </row>
    <row r="413" spans="3:25">
      <c r="U413" s="11" t="s">
        <v>32</v>
      </c>
      <c r="Y413" s="27"/>
    </row>
    <row r="414" spans="3:25">
      <c r="U414" s="11" t="s">
        <v>33</v>
      </c>
      <c r="Y414" s="9">
        <f>Y412-Y413</f>
        <v>97.875</v>
      </c>
    </row>
    <row r="416" spans="3:25">
      <c r="C416" s="3" t="s">
        <v>4</v>
      </c>
      <c r="D416" s="99" t="s">
        <v>225</v>
      </c>
      <c r="E416" s="58"/>
    </row>
    <row r="417" spans="1:39">
      <c r="C417" s="3" t="s">
        <v>5</v>
      </c>
      <c r="D417" s="100" t="s">
        <v>226</v>
      </c>
      <c r="E417" s="58"/>
    </row>
    <row r="418" spans="1:39">
      <c r="C418" s="3" t="s">
        <v>6</v>
      </c>
      <c r="D418" s="100" t="s">
        <v>227</v>
      </c>
      <c r="E418" s="58"/>
    </row>
    <row r="419" spans="1:39">
      <c r="C419" s="3" t="s">
        <v>7</v>
      </c>
      <c r="D419" s="40"/>
      <c r="E419" s="58"/>
      <c r="AB419" s="42" t="s">
        <v>104</v>
      </c>
      <c r="AE419" s="2" t="s">
        <v>47</v>
      </c>
    </row>
    <row r="420" spans="1:39" ht="6.75" customHeight="1">
      <c r="C420" s="4"/>
      <c r="D420" s="40"/>
      <c r="E420" s="58"/>
      <c r="AB420" s="42"/>
    </row>
    <row r="421" spans="1:39" ht="15">
      <c r="A421" s="2" t="s">
        <v>20</v>
      </c>
      <c r="B421" s="14" t="s">
        <v>34</v>
      </c>
      <c r="C421" s="3" t="s">
        <v>8</v>
      </c>
      <c r="D421" s="2" t="s">
        <v>1</v>
      </c>
      <c r="E421" s="57">
        <f>SUM(E424:E432)</f>
        <v>18.799999999999997</v>
      </c>
      <c r="M421" s="6" t="s">
        <v>12</v>
      </c>
      <c r="O421" s="6" t="s">
        <v>13</v>
      </c>
      <c r="Q421" s="6" t="s">
        <v>14</v>
      </c>
      <c r="S421" s="6" t="s">
        <v>15</v>
      </c>
      <c r="U421" s="6" t="s">
        <v>16</v>
      </c>
      <c r="W421" s="9" t="s">
        <v>17</v>
      </c>
      <c r="Y421" s="9" t="s">
        <v>18</v>
      </c>
      <c r="AB421" s="42" t="s">
        <v>105</v>
      </c>
      <c r="AC421" s="2" t="s">
        <v>19</v>
      </c>
      <c r="AE421" s="3" t="s">
        <v>4</v>
      </c>
      <c r="AF421" s="3" t="s">
        <v>5</v>
      </c>
      <c r="AG421" s="3" t="s">
        <v>6</v>
      </c>
      <c r="AH421" s="3" t="s">
        <v>7</v>
      </c>
      <c r="AI421" s="5" t="s">
        <v>2</v>
      </c>
      <c r="AJ421" s="12" t="s">
        <v>27</v>
      </c>
      <c r="AK421" s="12" t="s">
        <v>109</v>
      </c>
      <c r="AL421" s="2" t="s">
        <v>105</v>
      </c>
      <c r="AM421" s="2" t="s">
        <v>19</v>
      </c>
    </row>
    <row r="422" spans="1:39" ht="6.75" customHeight="1">
      <c r="C422" s="4"/>
      <c r="D422" s="40"/>
      <c r="E422" s="58"/>
    </row>
    <row r="423" spans="1:39" ht="15">
      <c r="D423" s="41" t="s">
        <v>107</v>
      </c>
      <c r="E423" s="59" t="s">
        <v>9</v>
      </c>
      <c r="G423" s="2" t="s">
        <v>21</v>
      </c>
      <c r="I423" s="2" t="s">
        <v>10</v>
      </c>
      <c r="K423" s="2" t="s">
        <v>11</v>
      </c>
    </row>
    <row r="424" spans="1:39">
      <c r="A424" s="2">
        <f>RANK(AC424,$AC$18:$AC$600,0)</f>
        <v>3</v>
      </c>
      <c r="B424" s="10">
        <v>15</v>
      </c>
      <c r="C424" s="4">
        <v>1</v>
      </c>
      <c r="D424" s="96" t="s">
        <v>164</v>
      </c>
      <c r="E424" s="60">
        <v>0.75</v>
      </c>
      <c r="G424" s="75">
        <f>_xlfn.IFS(I424="　",E424,IF(COUNTIF(D424,"*Acro-Pair*")&gt;=1,AND(I424="*")),"0.100",I424="*",0.5,I424="**",0)</f>
        <v>0.75</v>
      </c>
      <c r="I424" s="7" t="s">
        <v>22</v>
      </c>
      <c r="K424" s="56">
        <f>IF(D424="","",IF(COUNTIF(D424,"*HYB*")&gt;=1,$D$8,IF(AND(COUNTIF(D424,"*Acro*")&gt;=1),$E$8,IF(AND(COUNTIF(D424,"*TRE*")&gt;=1),$G$8))))</f>
        <v>0.2</v>
      </c>
      <c r="M424" s="13">
        <v>9</v>
      </c>
      <c r="O424" s="13">
        <v>9.5</v>
      </c>
      <c r="Q424" s="13">
        <v>9</v>
      </c>
      <c r="S424" s="13">
        <v>8</v>
      </c>
      <c r="U424" s="13">
        <v>7.5</v>
      </c>
      <c r="W424" s="9">
        <f>(SUM(M424:U424)-MAX(M424:U424)-MIN(M424:U424))/3</f>
        <v>8.6666666666666661</v>
      </c>
      <c r="Y424" s="9">
        <f>IF(D424="","",ROUND(W424*G424*K424,4))</f>
        <v>1.3</v>
      </c>
      <c r="AB424" s="55">
        <v>1.5</v>
      </c>
      <c r="AC424" s="64">
        <f>Y436+Y443-AB424-AB425</f>
        <v>163.38830000000002</v>
      </c>
      <c r="AE424" s="37" t="str">
        <f>D416</f>
        <v>北アーティスティックスイミングクラブ</v>
      </c>
      <c r="AF424" s="37" t="str">
        <f>D417</f>
        <v>北アーティスティックスイミングクラブA</v>
      </c>
      <c r="AG424" s="37" t="str">
        <f>D418</f>
        <v>高みこ/内なみ/花るか/松りな</v>
      </c>
      <c r="AH424" s="37">
        <f>D419</f>
        <v>0</v>
      </c>
      <c r="AI424" s="66">
        <f>Y436</f>
        <v>67.013300000000015</v>
      </c>
      <c r="AJ424" s="39">
        <f>Y443</f>
        <v>97.875</v>
      </c>
      <c r="AK424" s="65">
        <f>AB424</f>
        <v>1.5</v>
      </c>
      <c r="AL424" s="65">
        <f>AB425</f>
        <v>0</v>
      </c>
      <c r="AM424" s="64">
        <f>AC424</f>
        <v>163.38830000000002</v>
      </c>
    </row>
    <row r="425" spans="1:39">
      <c r="C425" s="4">
        <v>2</v>
      </c>
      <c r="D425" s="96" t="s">
        <v>164</v>
      </c>
      <c r="E425" s="60">
        <v>5.95</v>
      </c>
      <c r="G425" s="75">
        <f t="shared" ref="G425:G432" si="57">_xlfn.IFS(I425="　",E425,IF(COUNTIF(D425,"*Acro-Pair*")&gt;=1,AND(I425="*")),"0.100",I425="*",0.5,I425="**",0)</f>
        <v>5.95</v>
      </c>
      <c r="I425" s="7" t="s">
        <v>22</v>
      </c>
      <c r="K425" s="56">
        <f t="shared" ref="K425:K432" si="58">IF(D425="","",IF(COUNTIF(D425,"*HYB*")&gt;=1,$D$8,IF(AND(COUNTIF(D425,"*Acro*")&gt;=1),$E$8,IF(AND(COUNTIF(D425,"*TRE*")&gt;=1),$G$8))))</f>
        <v>0.2</v>
      </c>
      <c r="M425" s="13">
        <v>8</v>
      </c>
      <c r="O425" s="13">
        <v>8</v>
      </c>
      <c r="Q425" s="13">
        <v>8</v>
      </c>
      <c r="S425" s="13">
        <v>8</v>
      </c>
      <c r="U425" s="13">
        <v>8</v>
      </c>
      <c r="W425" s="9">
        <f t="shared" ref="W425:W432" si="59">(SUM(M425:U425)-MAX(M425:U425)-MIN(M425:U425))/3</f>
        <v>8</v>
      </c>
      <c r="Y425" s="9">
        <f t="shared" ref="Y425:Y432" si="60">IF(D425="","",ROUND(W425*G425*K425,4))</f>
        <v>9.52</v>
      </c>
      <c r="AB425" s="55"/>
    </row>
    <row r="426" spans="1:39">
      <c r="C426" s="4">
        <v>3</v>
      </c>
      <c r="D426" s="96" t="s">
        <v>206</v>
      </c>
      <c r="E426" s="60">
        <v>2.1</v>
      </c>
      <c r="G426" s="75">
        <f t="shared" si="57"/>
        <v>2.1</v>
      </c>
      <c r="I426" s="7" t="s">
        <v>22</v>
      </c>
      <c r="K426" s="56">
        <f t="shared" si="58"/>
        <v>1</v>
      </c>
      <c r="M426" s="13">
        <v>8.75</v>
      </c>
      <c r="O426" s="13">
        <v>8.25</v>
      </c>
      <c r="Q426" s="13">
        <v>8.5</v>
      </c>
      <c r="S426" s="13">
        <v>7</v>
      </c>
      <c r="U426" s="13">
        <v>7.5</v>
      </c>
      <c r="W426" s="9">
        <f t="shared" si="59"/>
        <v>8.0833333333333339</v>
      </c>
      <c r="Y426" s="9">
        <f t="shared" si="60"/>
        <v>16.975000000000001</v>
      </c>
    </row>
    <row r="427" spans="1:39">
      <c r="C427" s="4">
        <v>4</v>
      </c>
      <c r="D427" s="96" t="s">
        <v>207</v>
      </c>
      <c r="E427" s="60">
        <v>0.6</v>
      </c>
      <c r="G427" s="75">
        <f t="shared" si="57"/>
        <v>0.6</v>
      </c>
      <c r="I427" s="7" t="s">
        <v>22</v>
      </c>
      <c r="K427" s="56">
        <f t="shared" si="58"/>
        <v>0.8</v>
      </c>
      <c r="M427" s="13">
        <v>6.75</v>
      </c>
      <c r="O427" s="13">
        <v>6</v>
      </c>
      <c r="Q427" s="13">
        <v>6.25</v>
      </c>
      <c r="S427" s="13">
        <v>7.25</v>
      </c>
      <c r="U427" s="13">
        <v>7</v>
      </c>
      <c r="W427" s="9">
        <f t="shared" si="59"/>
        <v>6.666666666666667</v>
      </c>
      <c r="Y427" s="9">
        <f t="shared" si="60"/>
        <v>3.2</v>
      </c>
    </row>
    <row r="428" spans="1:39">
      <c r="C428" s="4">
        <v>5</v>
      </c>
      <c r="D428" s="96" t="s">
        <v>206</v>
      </c>
      <c r="E428" s="60">
        <v>2.1</v>
      </c>
      <c r="G428" s="75">
        <f t="shared" si="57"/>
        <v>2.1</v>
      </c>
      <c r="I428" s="7" t="s">
        <v>22</v>
      </c>
      <c r="K428" s="56">
        <f t="shared" si="58"/>
        <v>1</v>
      </c>
      <c r="M428" s="13">
        <v>8.5</v>
      </c>
      <c r="O428" s="13">
        <v>6.5</v>
      </c>
      <c r="Q428" s="13">
        <v>7.75</v>
      </c>
      <c r="S428" s="13">
        <v>6.5</v>
      </c>
      <c r="U428" s="13">
        <v>6.25</v>
      </c>
      <c r="W428" s="9">
        <f t="shared" si="59"/>
        <v>6.916666666666667</v>
      </c>
      <c r="Y428" s="9">
        <f t="shared" si="60"/>
        <v>14.525</v>
      </c>
    </row>
    <row r="429" spans="1:39">
      <c r="C429" s="4">
        <v>6</v>
      </c>
      <c r="D429" s="96" t="s">
        <v>208</v>
      </c>
      <c r="E429" s="60">
        <v>2.7</v>
      </c>
      <c r="G429" s="75">
        <f t="shared" si="57"/>
        <v>2.7</v>
      </c>
      <c r="I429" s="7" t="s">
        <v>22</v>
      </c>
      <c r="K429" s="56">
        <f t="shared" si="58"/>
        <v>1</v>
      </c>
      <c r="M429" s="13">
        <v>6.75</v>
      </c>
      <c r="O429" s="13">
        <v>6</v>
      </c>
      <c r="Q429" s="13">
        <v>6.75</v>
      </c>
      <c r="S429" s="13">
        <v>7</v>
      </c>
      <c r="U429" s="13">
        <v>6.75</v>
      </c>
      <c r="W429" s="9">
        <f t="shared" si="59"/>
        <v>6.75</v>
      </c>
      <c r="Y429" s="9">
        <f t="shared" si="60"/>
        <v>18.225000000000001</v>
      </c>
    </row>
    <row r="430" spans="1:39">
      <c r="C430" s="4">
        <v>7</v>
      </c>
      <c r="D430" s="96" t="s">
        <v>283</v>
      </c>
      <c r="E430" s="60">
        <v>1.2</v>
      </c>
      <c r="G430" s="75">
        <f t="shared" si="57"/>
        <v>1.2</v>
      </c>
      <c r="I430" s="7" t="s">
        <v>22</v>
      </c>
      <c r="K430" s="56">
        <f t="shared" si="58"/>
        <v>0.8</v>
      </c>
      <c r="M430" s="13">
        <v>7</v>
      </c>
      <c r="O430" s="13">
        <v>6.5</v>
      </c>
      <c r="Q430" s="13">
        <v>6.75</v>
      </c>
      <c r="S430" s="13">
        <v>7</v>
      </c>
      <c r="U430" s="13">
        <v>6.75</v>
      </c>
      <c r="W430" s="9">
        <f t="shared" si="59"/>
        <v>6.833333333333333</v>
      </c>
      <c r="Y430" s="9">
        <f t="shared" si="60"/>
        <v>6.56</v>
      </c>
    </row>
    <row r="431" spans="1:39">
      <c r="C431" s="4">
        <v>8</v>
      </c>
      <c r="D431" s="96" t="s">
        <v>164</v>
      </c>
      <c r="E431" s="60">
        <v>2.7</v>
      </c>
      <c r="G431" s="75">
        <f t="shared" si="57"/>
        <v>2.7</v>
      </c>
      <c r="I431" s="7" t="s">
        <v>22</v>
      </c>
      <c r="K431" s="56">
        <f t="shared" si="58"/>
        <v>0.2</v>
      </c>
      <c r="M431" s="13">
        <v>7</v>
      </c>
      <c r="O431" s="13">
        <v>6</v>
      </c>
      <c r="Q431" s="13">
        <v>6.25</v>
      </c>
      <c r="S431" s="13">
        <v>6.75</v>
      </c>
      <c r="U431" s="13">
        <v>6.5</v>
      </c>
      <c r="W431" s="9">
        <f t="shared" si="59"/>
        <v>6.5</v>
      </c>
      <c r="Y431" s="9">
        <f t="shared" si="60"/>
        <v>3.51</v>
      </c>
    </row>
    <row r="432" spans="1:39">
      <c r="C432" s="4">
        <v>9</v>
      </c>
      <c r="D432" s="96" t="s">
        <v>164</v>
      </c>
      <c r="E432" s="60">
        <v>0.7</v>
      </c>
      <c r="G432" s="75">
        <f t="shared" si="57"/>
        <v>0.7</v>
      </c>
      <c r="I432" s="7" t="s">
        <v>22</v>
      </c>
      <c r="K432" s="56">
        <f t="shared" si="58"/>
        <v>0.2</v>
      </c>
      <c r="M432" s="13">
        <v>6.75</v>
      </c>
      <c r="O432" s="13">
        <v>6</v>
      </c>
      <c r="Q432" s="13">
        <v>6</v>
      </c>
      <c r="S432" s="13">
        <v>6.75</v>
      </c>
      <c r="U432" s="13">
        <v>6.5</v>
      </c>
      <c r="W432" s="9">
        <f t="shared" si="59"/>
        <v>6.416666666666667</v>
      </c>
      <c r="Y432" s="9">
        <f t="shared" si="60"/>
        <v>0.89829999999999999</v>
      </c>
    </row>
    <row r="433" spans="3:31">
      <c r="U433" s="11" t="s">
        <v>23</v>
      </c>
      <c r="Y433" s="9">
        <f>SUM(Y424:Y432)</f>
        <v>74.713300000000018</v>
      </c>
    </row>
    <row r="434" spans="3:31">
      <c r="C434" s="8" t="s">
        <v>163</v>
      </c>
      <c r="U434" s="11" t="s">
        <v>24</v>
      </c>
      <c r="Y434" s="27">
        <v>7.7</v>
      </c>
    </row>
    <row r="435" spans="3:31">
      <c r="U435" s="11" t="s">
        <v>25</v>
      </c>
      <c r="Y435" s="27"/>
    </row>
    <row r="436" spans="3:31">
      <c r="U436" s="11" t="s">
        <v>26</v>
      </c>
      <c r="Y436" s="9">
        <f>Y433-Y434-Y435</f>
        <v>67.013300000000015</v>
      </c>
    </row>
    <row r="437" spans="3:31" ht="15">
      <c r="D437" s="12" t="s">
        <v>27</v>
      </c>
      <c r="U437" s="11"/>
    </row>
    <row r="438" spans="3:31">
      <c r="D438" s="2" t="s">
        <v>28</v>
      </c>
      <c r="K438" s="62">
        <f>$H$8</f>
        <v>1.5</v>
      </c>
      <c r="M438" s="13">
        <v>8.25</v>
      </c>
      <c r="O438" s="13">
        <v>7.25</v>
      </c>
      <c r="Q438" s="13">
        <v>7.75</v>
      </c>
      <c r="S438" s="13">
        <v>7.25</v>
      </c>
      <c r="U438" s="13">
        <v>7.75</v>
      </c>
      <c r="Y438" s="9">
        <f>ROUND((SUM(M438:U438)-MAX(M438:U438)-MIN(M438:U438))*K438,4)</f>
        <v>34.125</v>
      </c>
    </row>
    <row r="439" spans="3:31">
      <c r="D439" s="2" t="s">
        <v>29</v>
      </c>
      <c r="K439" s="62">
        <f>$K$8</f>
        <v>1.3</v>
      </c>
      <c r="M439" s="13">
        <v>7.5</v>
      </c>
      <c r="O439" s="13">
        <v>7.5</v>
      </c>
      <c r="Q439" s="13">
        <v>7.5</v>
      </c>
      <c r="S439" s="13">
        <v>6.75</v>
      </c>
      <c r="U439" s="13">
        <v>7.75</v>
      </c>
      <c r="Y439" s="9">
        <f>ROUND((SUM(M439:U439)-MAX(M439:U439)-MIN(M439:U439))*K439,4)</f>
        <v>29.25</v>
      </c>
    </row>
    <row r="440" spans="3:31">
      <c r="D440" s="2" t="s">
        <v>30</v>
      </c>
      <c r="K440" s="62">
        <f>$N$8</f>
        <v>1.5</v>
      </c>
      <c r="M440" s="13">
        <v>7.75</v>
      </c>
      <c r="O440" s="13">
        <v>7.75</v>
      </c>
      <c r="Q440" s="13">
        <v>7.5</v>
      </c>
      <c r="S440" s="13">
        <v>7</v>
      </c>
      <c r="U440" s="13">
        <v>7.75</v>
      </c>
      <c r="Y440" s="9">
        <f>ROUND((SUM(M440:U440)-MAX(M440:U440)-MIN(M440:U440))*K440,4)</f>
        <v>34.5</v>
      </c>
    </row>
    <row r="441" spans="3:31">
      <c r="U441" s="11" t="s">
        <v>31</v>
      </c>
      <c r="Y441" s="9">
        <f>SUM(Y438:Y440)</f>
        <v>97.875</v>
      </c>
    </row>
    <row r="442" spans="3:31">
      <c r="U442" s="11" t="s">
        <v>32</v>
      </c>
      <c r="Y442" s="27"/>
    </row>
    <row r="443" spans="3:31">
      <c r="U443" s="11" t="s">
        <v>33</v>
      </c>
      <c r="Y443" s="9">
        <f>Y441-Y442</f>
        <v>97.875</v>
      </c>
    </row>
    <row r="445" spans="3:31">
      <c r="C445" s="3" t="s">
        <v>4</v>
      </c>
      <c r="D445" s="99" t="s">
        <v>221</v>
      </c>
      <c r="E445" s="58"/>
    </row>
    <row r="446" spans="3:31">
      <c r="C446" s="3" t="s">
        <v>5</v>
      </c>
      <c r="D446" s="100" t="s">
        <v>222</v>
      </c>
      <c r="E446" s="58"/>
    </row>
    <row r="447" spans="3:31">
      <c r="C447" s="3" t="s">
        <v>6</v>
      </c>
      <c r="D447" s="100" t="s">
        <v>223</v>
      </c>
      <c r="E447" s="58"/>
    </row>
    <row r="448" spans="3:31">
      <c r="C448" s="3" t="s">
        <v>7</v>
      </c>
      <c r="D448" s="100" t="s">
        <v>224</v>
      </c>
      <c r="E448" s="58"/>
      <c r="AB448" s="42" t="s">
        <v>104</v>
      </c>
      <c r="AE448" s="2" t="s">
        <v>47</v>
      </c>
    </row>
    <row r="449" spans="1:39" ht="6.75" customHeight="1">
      <c r="C449" s="4"/>
      <c r="D449" s="40"/>
      <c r="E449" s="58"/>
      <c r="AB449" s="42"/>
    </row>
    <row r="450" spans="1:39" ht="15">
      <c r="A450" s="2" t="s">
        <v>20</v>
      </c>
      <c r="B450" s="14" t="s">
        <v>34</v>
      </c>
      <c r="C450" s="3" t="s">
        <v>8</v>
      </c>
      <c r="D450" s="2" t="s">
        <v>1</v>
      </c>
      <c r="E450" s="57">
        <f>SUM(E453:E461)</f>
        <v>18.799999999999997</v>
      </c>
      <c r="M450" s="6" t="s">
        <v>12</v>
      </c>
      <c r="O450" s="6" t="s">
        <v>13</v>
      </c>
      <c r="Q450" s="6" t="s">
        <v>14</v>
      </c>
      <c r="S450" s="6" t="s">
        <v>15</v>
      </c>
      <c r="U450" s="6" t="s">
        <v>16</v>
      </c>
      <c r="W450" s="9" t="s">
        <v>17</v>
      </c>
      <c r="Y450" s="9" t="s">
        <v>18</v>
      </c>
      <c r="AB450" s="42" t="s">
        <v>105</v>
      </c>
      <c r="AC450" s="2" t="s">
        <v>19</v>
      </c>
      <c r="AE450" s="3" t="s">
        <v>4</v>
      </c>
      <c r="AF450" s="3" t="s">
        <v>5</v>
      </c>
      <c r="AG450" s="3" t="s">
        <v>6</v>
      </c>
      <c r="AH450" s="3" t="s">
        <v>7</v>
      </c>
      <c r="AI450" s="5" t="s">
        <v>2</v>
      </c>
      <c r="AJ450" s="12" t="s">
        <v>27</v>
      </c>
      <c r="AK450" s="12" t="s">
        <v>109</v>
      </c>
      <c r="AL450" s="2" t="s">
        <v>105</v>
      </c>
      <c r="AM450" s="2" t="s">
        <v>19</v>
      </c>
    </row>
    <row r="451" spans="1:39" ht="6.75" customHeight="1">
      <c r="C451" s="4"/>
      <c r="D451" s="40"/>
      <c r="E451" s="58"/>
    </row>
    <row r="452" spans="1:39" ht="15">
      <c r="D452" s="41" t="s">
        <v>107</v>
      </c>
      <c r="E452" s="59" t="s">
        <v>9</v>
      </c>
      <c r="G452" s="2" t="s">
        <v>21</v>
      </c>
      <c r="I452" s="2" t="s">
        <v>10</v>
      </c>
      <c r="K452" s="2" t="s">
        <v>11</v>
      </c>
    </row>
    <row r="453" spans="1:39">
      <c r="A453" s="2">
        <f>RANK(AC453,$AC$18:$AC$600,0)</f>
        <v>9</v>
      </c>
      <c r="B453" s="10">
        <v>16</v>
      </c>
      <c r="C453" s="4">
        <v>1</v>
      </c>
      <c r="D453" s="96" t="s">
        <v>164</v>
      </c>
      <c r="E453" s="60">
        <v>0.75</v>
      </c>
      <c r="G453" s="75">
        <f>_xlfn.IFS(I453="　",E453,IF(COUNTIF(D453,"*Acro-Pair*")&gt;=1,AND(I453="*")),"0.100",I453="*",0.5,I453="**",0)</f>
        <v>0.75</v>
      </c>
      <c r="I453" s="7" t="s">
        <v>22</v>
      </c>
      <c r="K453" s="56">
        <f>IF(D453="","",IF(COUNTIF(D453,"*HYB*")&gt;=1,$D$8,IF(AND(COUNTIF(D453,"*Acro*")&gt;=1),$E$8,IF(AND(COUNTIF(D453,"*TRE*")&gt;=1),$G$8))))</f>
        <v>0.2</v>
      </c>
      <c r="M453" s="13">
        <v>9</v>
      </c>
      <c r="O453" s="13">
        <v>9.5</v>
      </c>
      <c r="Q453" s="13">
        <v>9</v>
      </c>
      <c r="S453" s="13">
        <v>8</v>
      </c>
      <c r="U453" s="13">
        <v>7.5</v>
      </c>
      <c r="W453" s="9">
        <f>(SUM(M453:U453)-MAX(M453:U453)-MIN(M453:U453))/3</f>
        <v>8.6666666666666661</v>
      </c>
      <c r="Y453" s="9">
        <f>IF(D453="","",ROUND(W453*G453*K453,4))</f>
        <v>1.3</v>
      </c>
      <c r="AB453" s="55">
        <v>1.5</v>
      </c>
      <c r="AC453" s="64">
        <f>Y465+Y472-AB453-AB454</f>
        <v>161.77910000000003</v>
      </c>
      <c r="AE453" s="37" t="str">
        <f>D445</f>
        <v>南アーティスティックスイミングクラブ</v>
      </c>
      <c r="AF453" s="37" t="str">
        <f>D446</f>
        <v>南アーティスティックスイミングクラブA</v>
      </c>
      <c r="AG453" s="37" t="str">
        <f>D447</f>
        <v>あみ/さり/たみ/なな</v>
      </c>
      <c r="AH453" s="37" t="str">
        <f>D448</f>
        <v>来/若</v>
      </c>
      <c r="AI453" s="66">
        <f>Y465</f>
        <v>65.404100000000014</v>
      </c>
      <c r="AJ453" s="39">
        <f>Y472</f>
        <v>97.875</v>
      </c>
      <c r="AK453" s="65">
        <f>AB453</f>
        <v>1.5</v>
      </c>
      <c r="AL453" s="65">
        <f>AB454</f>
        <v>0</v>
      </c>
      <c r="AM453" s="64">
        <f>AC453</f>
        <v>161.77910000000003</v>
      </c>
    </row>
    <row r="454" spans="1:39">
      <c r="C454" s="4">
        <v>2</v>
      </c>
      <c r="D454" s="96" t="s">
        <v>164</v>
      </c>
      <c r="E454" s="60">
        <v>5.95</v>
      </c>
      <c r="G454" s="75">
        <f t="shared" ref="G454:G461" si="61">_xlfn.IFS(I454="　",E454,IF(COUNTIF(D454,"*Acro-Pair*")&gt;=1,AND(I454="*")),"0.100",I454="*",0.5,I454="**",0)</f>
        <v>5.95</v>
      </c>
      <c r="I454" s="7" t="s">
        <v>22</v>
      </c>
      <c r="K454" s="56">
        <f t="shared" ref="K454:K461" si="62">IF(D454="","",IF(COUNTIF(D454,"*HYB*")&gt;=1,$D$8,IF(AND(COUNTIF(D454,"*Acro*")&gt;=1),$E$8,IF(AND(COUNTIF(D454,"*TRE*")&gt;=1),$G$8))))</f>
        <v>0.2</v>
      </c>
      <c r="M454" s="13">
        <v>7.25</v>
      </c>
      <c r="O454" s="13">
        <v>6.25</v>
      </c>
      <c r="Q454" s="13">
        <v>6.5</v>
      </c>
      <c r="S454" s="13">
        <v>7.25</v>
      </c>
      <c r="U454" s="13">
        <v>7</v>
      </c>
      <c r="W454" s="9">
        <f t="shared" ref="W454:W461" si="63">(SUM(M454:U454)-MAX(M454:U454)-MIN(M454:U454))/3</f>
        <v>6.916666666666667</v>
      </c>
      <c r="Y454" s="9">
        <f t="shared" ref="Y454:Y461" si="64">IF(D454="","",ROUND(W454*G454*K454,4))</f>
        <v>8.2308000000000003</v>
      </c>
      <c r="AB454" s="55"/>
    </row>
    <row r="455" spans="1:39">
      <c r="C455" s="4">
        <v>3</v>
      </c>
      <c r="D455" s="96" t="s">
        <v>206</v>
      </c>
      <c r="E455" s="60">
        <v>2.1</v>
      </c>
      <c r="G455" s="75">
        <f t="shared" si="61"/>
        <v>2.1</v>
      </c>
      <c r="I455" s="7" t="s">
        <v>22</v>
      </c>
      <c r="K455" s="56">
        <f t="shared" si="62"/>
        <v>1</v>
      </c>
      <c r="M455" s="13">
        <v>8.75</v>
      </c>
      <c r="O455" s="13">
        <v>8.25</v>
      </c>
      <c r="Q455" s="13">
        <v>8.5</v>
      </c>
      <c r="S455" s="13">
        <v>7</v>
      </c>
      <c r="U455" s="13">
        <v>7.5</v>
      </c>
      <c r="W455" s="9">
        <f t="shared" si="63"/>
        <v>8.0833333333333339</v>
      </c>
      <c r="Y455" s="9">
        <f t="shared" si="64"/>
        <v>16.975000000000001</v>
      </c>
    </row>
    <row r="456" spans="1:39">
      <c r="C456" s="4">
        <v>4</v>
      </c>
      <c r="D456" s="96" t="s">
        <v>207</v>
      </c>
      <c r="E456" s="60">
        <v>0.6</v>
      </c>
      <c r="G456" s="75">
        <f t="shared" si="61"/>
        <v>0.6</v>
      </c>
      <c r="I456" s="7" t="s">
        <v>22</v>
      </c>
      <c r="K456" s="56">
        <f t="shared" si="62"/>
        <v>0.8</v>
      </c>
      <c r="M456" s="13">
        <v>6</v>
      </c>
      <c r="O456" s="13">
        <v>6</v>
      </c>
      <c r="Q456" s="13">
        <v>6</v>
      </c>
      <c r="S456" s="13">
        <v>6</v>
      </c>
      <c r="U456" s="13">
        <v>6</v>
      </c>
      <c r="W456" s="9">
        <f t="shared" si="63"/>
        <v>6</v>
      </c>
      <c r="Y456" s="9">
        <f t="shared" si="64"/>
        <v>2.88</v>
      </c>
    </row>
    <row r="457" spans="1:39">
      <c r="C457" s="4">
        <v>5</v>
      </c>
      <c r="D457" s="96" t="s">
        <v>206</v>
      </c>
      <c r="E457" s="60">
        <v>2.1</v>
      </c>
      <c r="G457" s="75">
        <f t="shared" si="61"/>
        <v>2.1</v>
      </c>
      <c r="I457" s="7" t="s">
        <v>22</v>
      </c>
      <c r="K457" s="56">
        <f t="shared" si="62"/>
        <v>1</v>
      </c>
      <c r="M457" s="13">
        <v>8.5</v>
      </c>
      <c r="O457" s="13">
        <v>6.5</v>
      </c>
      <c r="Q457" s="13">
        <v>7.75</v>
      </c>
      <c r="S457" s="13">
        <v>6.5</v>
      </c>
      <c r="U457" s="13">
        <v>6.25</v>
      </c>
      <c r="W457" s="9">
        <f t="shared" si="63"/>
        <v>6.916666666666667</v>
      </c>
      <c r="Y457" s="9">
        <f t="shared" si="64"/>
        <v>14.525</v>
      </c>
    </row>
    <row r="458" spans="1:39">
      <c r="C458" s="4">
        <v>6</v>
      </c>
      <c r="D458" s="96" t="s">
        <v>208</v>
      </c>
      <c r="E458" s="60">
        <v>2.7</v>
      </c>
      <c r="G458" s="75">
        <f t="shared" si="61"/>
        <v>2.7</v>
      </c>
      <c r="I458" s="7" t="s">
        <v>22</v>
      </c>
      <c r="K458" s="56">
        <f t="shared" si="62"/>
        <v>1</v>
      </c>
      <c r="M458" s="13">
        <v>6.75</v>
      </c>
      <c r="O458" s="13">
        <v>6</v>
      </c>
      <c r="Q458" s="13">
        <v>6.75</v>
      </c>
      <c r="S458" s="13">
        <v>7</v>
      </c>
      <c r="U458" s="13">
        <v>6.75</v>
      </c>
      <c r="W458" s="9">
        <f t="shared" si="63"/>
        <v>6.75</v>
      </c>
      <c r="Y458" s="9">
        <f t="shared" si="64"/>
        <v>18.225000000000001</v>
      </c>
    </row>
    <row r="459" spans="1:39">
      <c r="C459" s="4">
        <v>7</v>
      </c>
      <c r="D459" s="96" t="s">
        <v>283</v>
      </c>
      <c r="E459" s="60">
        <v>1.2</v>
      </c>
      <c r="G459" s="75">
        <f t="shared" si="61"/>
        <v>1.2</v>
      </c>
      <c r="I459" s="7" t="s">
        <v>22</v>
      </c>
      <c r="K459" s="56">
        <f t="shared" si="62"/>
        <v>0.8</v>
      </c>
      <c r="M459" s="13">
        <v>7</v>
      </c>
      <c r="O459" s="13">
        <v>6.5</v>
      </c>
      <c r="Q459" s="13">
        <v>6.75</v>
      </c>
      <c r="S459" s="13">
        <v>7</v>
      </c>
      <c r="U459" s="13">
        <v>6.75</v>
      </c>
      <c r="W459" s="9">
        <f t="shared" si="63"/>
        <v>6.833333333333333</v>
      </c>
      <c r="Y459" s="9">
        <f t="shared" si="64"/>
        <v>6.56</v>
      </c>
    </row>
    <row r="460" spans="1:39">
      <c r="C460" s="4">
        <v>8</v>
      </c>
      <c r="D460" s="96" t="s">
        <v>164</v>
      </c>
      <c r="E460" s="60">
        <v>2.7</v>
      </c>
      <c r="G460" s="75">
        <f t="shared" si="61"/>
        <v>2.7</v>
      </c>
      <c r="I460" s="7" t="s">
        <v>22</v>
      </c>
      <c r="K460" s="56">
        <f t="shared" si="62"/>
        <v>0.2</v>
      </c>
      <c r="M460" s="13">
        <v>7</v>
      </c>
      <c r="O460" s="13">
        <v>6</v>
      </c>
      <c r="Q460" s="13">
        <v>6.25</v>
      </c>
      <c r="S460" s="13">
        <v>6.75</v>
      </c>
      <c r="U460" s="13">
        <v>6.5</v>
      </c>
      <c r="W460" s="9">
        <f t="shared" si="63"/>
        <v>6.5</v>
      </c>
      <c r="Y460" s="9">
        <f t="shared" si="64"/>
        <v>3.51</v>
      </c>
    </row>
    <row r="461" spans="1:39">
      <c r="C461" s="4">
        <v>9</v>
      </c>
      <c r="D461" s="96" t="s">
        <v>164</v>
      </c>
      <c r="E461" s="60">
        <v>0.7</v>
      </c>
      <c r="G461" s="75">
        <f t="shared" si="61"/>
        <v>0.7</v>
      </c>
      <c r="I461" s="7" t="s">
        <v>22</v>
      </c>
      <c r="K461" s="56">
        <f t="shared" si="62"/>
        <v>0.2</v>
      </c>
      <c r="M461" s="13">
        <v>6.75</v>
      </c>
      <c r="O461" s="13">
        <v>6</v>
      </c>
      <c r="Q461" s="13">
        <v>6</v>
      </c>
      <c r="S461" s="13">
        <v>6.75</v>
      </c>
      <c r="U461" s="13">
        <v>6.5</v>
      </c>
      <c r="W461" s="9">
        <f t="shared" si="63"/>
        <v>6.416666666666667</v>
      </c>
      <c r="Y461" s="9">
        <f t="shared" si="64"/>
        <v>0.89829999999999999</v>
      </c>
    </row>
    <row r="462" spans="1:39">
      <c r="U462" s="11" t="s">
        <v>23</v>
      </c>
      <c r="Y462" s="9">
        <f>SUM(Y453:Y461)</f>
        <v>73.104100000000017</v>
      </c>
    </row>
    <row r="463" spans="1:39">
      <c r="C463" s="8" t="s">
        <v>163</v>
      </c>
      <c r="U463" s="11" t="s">
        <v>24</v>
      </c>
      <c r="Y463" s="27">
        <v>7.7</v>
      </c>
    </row>
    <row r="464" spans="1:39">
      <c r="U464" s="11" t="s">
        <v>25</v>
      </c>
      <c r="Y464" s="27"/>
    </row>
    <row r="465" spans="1:39">
      <c r="U465" s="11" t="s">
        <v>26</v>
      </c>
      <c r="Y465" s="9">
        <f>Y462-Y463-Y464</f>
        <v>65.404100000000014</v>
      </c>
    </row>
    <row r="466" spans="1:39" ht="15">
      <c r="D466" s="12" t="s">
        <v>27</v>
      </c>
      <c r="U466" s="11"/>
    </row>
    <row r="467" spans="1:39">
      <c r="D467" s="2" t="s">
        <v>28</v>
      </c>
      <c r="K467" s="62">
        <f>$H$8</f>
        <v>1.5</v>
      </c>
      <c r="M467" s="13">
        <v>8.25</v>
      </c>
      <c r="O467" s="13">
        <v>7.25</v>
      </c>
      <c r="Q467" s="13">
        <v>7.75</v>
      </c>
      <c r="S467" s="13">
        <v>7.25</v>
      </c>
      <c r="U467" s="13">
        <v>7.75</v>
      </c>
      <c r="Y467" s="9">
        <f>ROUND((SUM(M467:U467)-MAX(M467:U467)-MIN(M467:U467))*K467,4)</f>
        <v>34.125</v>
      </c>
    </row>
    <row r="468" spans="1:39">
      <c r="D468" s="2" t="s">
        <v>29</v>
      </c>
      <c r="K468" s="62">
        <f>$K$8</f>
        <v>1.3</v>
      </c>
      <c r="M468" s="13">
        <v>7.5</v>
      </c>
      <c r="O468" s="13">
        <v>7.5</v>
      </c>
      <c r="Q468" s="13">
        <v>7.5</v>
      </c>
      <c r="S468" s="13">
        <v>6.75</v>
      </c>
      <c r="U468" s="13">
        <v>7.75</v>
      </c>
      <c r="Y468" s="9">
        <f>ROUND((SUM(M468:U468)-MAX(M468:U468)-MIN(M468:U468))*K468,4)</f>
        <v>29.25</v>
      </c>
    </row>
    <row r="469" spans="1:39">
      <c r="D469" s="2" t="s">
        <v>30</v>
      </c>
      <c r="K469" s="62">
        <f>$N$8</f>
        <v>1.5</v>
      </c>
      <c r="M469" s="13">
        <v>7.75</v>
      </c>
      <c r="O469" s="13">
        <v>7.75</v>
      </c>
      <c r="Q469" s="13">
        <v>7.5</v>
      </c>
      <c r="S469" s="13">
        <v>7</v>
      </c>
      <c r="U469" s="13">
        <v>7.75</v>
      </c>
      <c r="Y469" s="9">
        <f>ROUND((SUM(M469:U469)-MAX(M469:U469)-MIN(M469:U469))*K469,4)</f>
        <v>34.5</v>
      </c>
    </row>
    <row r="470" spans="1:39">
      <c r="U470" s="11" t="s">
        <v>31</v>
      </c>
      <c r="Y470" s="9">
        <f>SUM(Y467:Y469)</f>
        <v>97.875</v>
      </c>
    </row>
    <row r="471" spans="1:39">
      <c r="U471" s="11" t="s">
        <v>32</v>
      </c>
      <c r="Y471" s="27"/>
    </row>
    <row r="472" spans="1:39">
      <c r="U472" s="11" t="s">
        <v>33</v>
      </c>
      <c r="Y472" s="9">
        <f>Y470-Y471</f>
        <v>97.875</v>
      </c>
    </row>
    <row r="474" spans="1:39">
      <c r="C474" s="3" t="s">
        <v>4</v>
      </c>
      <c r="D474" s="99" t="s">
        <v>215</v>
      </c>
      <c r="E474" s="58"/>
    </row>
    <row r="475" spans="1:39">
      <c r="C475" s="3" t="s">
        <v>5</v>
      </c>
      <c r="D475" s="100" t="s">
        <v>216</v>
      </c>
      <c r="E475" s="58"/>
    </row>
    <row r="476" spans="1:39">
      <c r="C476" s="3" t="s">
        <v>6</v>
      </c>
      <c r="D476" s="100" t="s">
        <v>219</v>
      </c>
      <c r="E476" s="58"/>
    </row>
    <row r="477" spans="1:39">
      <c r="C477" s="3" t="s">
        <v>7</v>
      </c>
      <c r="D477" s="99" t="s">
        <v>220</v>
      </c>
      <c r="E477" s="58"/>
      <c r="AB477" s="42" t="s">
        <v>104</v>
      </c>
      <c r="AE477" s="2" t="s">
        <v>47</v>
      </c>
    </row>
    <row r="478" spans="1:39" ht="6.75" customHeight="1">
      <c r="C478" s="4"/>
      <c r="D478" s="40"/>
      <c r="E478" s="58"/>
      <c r="AB478" s="42"/>
    </row>
    <row r="479" spans="1:39" ht="15">
      <c r="A479" s="2" t="s">
        <v>20</v>
      </c>
      <c r="B479" s="14" t="s">
        <v>34</v>
      </c>
      <c r="C479" s="3" t="s">
        <v>8</v>
      </c>
      <c r="D479" s="2" t="s">
        <v>1</v>
      </c>
      <c r="E479" s="57">
        <f>SUM(E482:E490)</f>
        <v>18.799999999999997</v>
      </c>
      <c r="M479" s="6" t="s">
        <v>12</v>
      </c>
      <c r="O479" s="6" t="s">
        <v>13</v>
      </c>
      <c r="Q479" s="6" t="s">
        <v>14</v>
      </c>
      <c r="S479" s="6" t="s">
        <v>15</v>
      </c>
      <c r="U479" s="6" t="s">
        <v>16</v>
      </c>
      <c r="W479" s="9" t="s">
        <v>17</v>
      </c>
      <c r="Y479" s="9" t="s">
        <v>18</v>
      </c>
      <c r="AB479" s="42" t="s">
        <v>105</v>
      </c>
      <c r="AC479" s="2" t="s">
        <v>19</v>
      </c>
      <c r="AE479" s="3" t="s">
        <v>4</v>
      </c>
      <c r="AF479" s="3" t="s">
        <v>5</v>
      </c>
      <c r="AG479" s="3" t="s">
        <v>6</v>
      </c>
      <c r="AH479" s="3" t="s">
        <v>7</v>
      </c>
      <c r="AI479" s="5" t="s">
        <v>2</v>
      </c>
      <c r="AJ479" s="12" t="s">
        <v>27</v>
      </c>
      <c r="AK479" s="12" t="s">
        <v>109</v>
      </c>
      <c r="AL479" s="2" t="s">
        <v>105</v>
      </c>
      <c r="AM479" s="2" t="s">
        <v>19</v>
      </c>
    </row>
    <row r="480" spans="1:39" ht="6.75" customHeight="1">
      <c r="C480" s="4"/>
      <c r="D480" s="40"/>
      <c r="E480" s="58"/>
    </row>
    <row r="481" spans="1:39" ht="15">
      <c r="D481" s="41" t="s">
        <v>107</v>
      </c>
      <c r="E481" s="59" t="s">
        <v>9</v>
      </c>
      <c r="G481" s="2" t="s">
        <v>21</v>
      </c>
      <c r="I481" s="2" t="s">
        <v>10</v>
      </c>
      <c r="K481" s="2" t="s">
        <v>11</v>
      </c>
    </row>
    <row r="482" spans="1:39">
      <c r="A482" s="2">
        <f>RANK(AC482,$AC$18:$AC$600,0)</f>
        <v>4</v>
      </c>
      <c r="B482" s="10">
        <v>17</v>
      </c>
      <c r="C482" s="4">
        <v>1</v>
      </c>
      <c r="D482" s="96" t="s">
        <v>164</v>
      </c>
      <c r="E482" s="60">
        <v>0.75</v>
      </c>
      <c r="G482" s="75">
        <f>_xlfn.IFS(I482="　",E482,IF(COUNTIF(D482,"*Acro-Pair*")&gt;=1,AND(I482="*")),"0.100",I482="*",0.5,I482="**",0)</f>
        <v>0.75</v>
      </c>
      <c r="I482" s="7" t="s">
        <v>22</v>
      </c>
      <c r="K482" s="56">
        <f>IF(D482="","",IF(COUNTIF(D482,"*HYB*")&gt;=1,$D$8,IF(AND(COUNTIF(D482,"*Acro*")&gt;=1),$E$8,IF(AND(COUNTIF(D482,"*TRE*")&gt;=1),$G$8))))</f>
        <v>0.2</v>
      </c>
      <c r="M482" s="13">
        <v>9</v>
      </c>
      <c r="O482" s="13">
        <v>9.5</v>
      </c>
      <c r="Q482" s="13">
        <v>9</v>
      </c>
      <c r="S482" s="13">
        <v>8</v>
      </c>
      <c r="U482" s="13">
        <v>7.5</v>
      </c>
      <c r="W482" s="9">
        <f>(SUM(M482:U482)-MAX(M482:U482)-MIN(M482:U482))/3</f>
        <v>8.6666666666666661</v>
      </c>
      <c r="Y482" s="9">
        <f>IF(D482="","",ROUND(W482*G482*K482,4))</f>
        <v>1.3</v>
      </c>
      <c r="AB482" s="55">
        <v>1.5</v>
      </c>
      <c r="AC482" s="64">
        <f>Y494+Y501-AB482-AB483</f>
        <v>163.21910000000003</v>
      </c>
      <c r="AE482" s="37" t="str">
        <f>D474</f>
        <v>上アーティスティックスイミングクラブ</v>
      </c>
      <c r="AF482" s="37" t="str">
        <f>D475</f>
        <v>上アーティスティックスイミングクラブA</v>
      </c>
      <c r="AG482" s="37" t="str">
        <f>D476</f>
        <v>佐藤たみこ/内藤はるか/松藤やくみ</v>
      </c>
      <c r="AH482" s="37" t="str">
        <f>D477</f>
        <v>わかな</v>
      </c>
      <c r="AI482" s="66">
        <f>Y494</f>
        <v>66.844100000000012</v>
      </c>
      <c r="AJ482" s="39">
        <f>Y501</f>
        <v>97.875</v>
      </c>
      <c r="AK482" s="65">
        <f>AB482</f>
        <v>1.5</v>
      </c>
      <c r="AL482" s="65">
        <f>AB483</f>
        <v>0</v>
      </c>
      <c r="AM482" s="64">
        <f>AC482</f>
        <v>163.21910000000003</v>
      </c>
    </row>
    <row r="483" spans="1:39">
      <c r="C483" s="4">
        <v>2</v>
      </c>
      <c r="D483" s="96" t="s">
        <v>164</v>
      </c>
      <c r="E483" s="60">
        <v>5.95</v>
      </c>
      <c r="G483" s="75">
        <f t="shared" ref="G483:G490" si="65">_xlfn.IFS(I483="　",E483,IF(COUNTIF(D483,"*Acro-Pair*")&gt;=1,AND(I483="*")),"0.100",I483="*",0.5,I483="**",0)</f>
        <v>5.95</v>
      </c>
      <c r="I483" s="7" t="s">
        <v>22</v>
      </c>
      <c r="K483" s="56">
        <f t="shared" ref="K483:K490" si="66">IF(D483="","",IF(COUNTIF(D483,"*HYB*")&gt;=1,$D$8,IF(AND(COUNTIF(D483,"*Acro*")&gt;=1),$E$8,IF(AND(COUNTIF(D483,"*TRE*")&gt;=1),$G$8))))</f>
        <v>0.2</v>
      </c>
      <c r="M483" s="13">
        <v>7.25</v>
      </c>
      <c r="O483" s="13">
        <v>6.25</v>
      </c>
      <c r="Q483" s="13">
        <v>6.5</v>
      </c>
      <c r="S483" s="13">
        <v>7.25</v>
      </c>
      <c r="U483" s="13">
        <v>7</v>
      </c>
      <c r="W483" s="9">
        <f t="shared" ref="W483:W490" si="67">(SUM(M483:U483)-MAX(M483:U483)-MIN(M483:U483))/3</f>
        <v>6.916666666666667</v>
      </c>
      <c r="Y483" s="9">
        <f t="shared" ref="Y483:Y490" si="68">IF(D483="","",ROUND(W483*G483*K483,4))</f>
        <v>8.2308000000000003</v>
      </c>
      <c r="AB483" s="55"/>
    </row>
    <row r="484" spans="1:39">
      <c r="C484" s="4">
        <v>3</v>
      </c>
      <c r="D484" s="96" t="s">
        <v>206</v>
      </c>
      <c r="E484" s="60">
        <v>2.1</v>
      </c>
      <c r="G484" s="75">
        <f t="shared" si="65"/>
        <v>2.1</v>
      </c>
      <c r="I484" s="7" t="s">
        <v>22</v>
      </c>
      <c r="K484" s="56">
        <f t="shared" si="66"/>
        <v>1</v>
      </c>
      <c r="M484" s="13">
        <v>8.75</v>
      </c>
      <c r="O484" s="13">
        <v>8.25</v>
      </c>
      <c r="Q484" s="13">
        <v>8.5</v>
      </c>
      <c r="S484" s="13">
        <v>7</v>
      </c>
      <c r="U484" s="13">
        <v>7.5</v>
      </c>
      <c r="W484" s="9">
        <f t="shared" si="67"/>
        <v>8.0833333333333339</v>
      </c>
      <c r="Y484" s="9">
        <f t="shared" si="68"/>
        <v>16.975000000000001</v>
      </c>
    </row>
    <row r="485" spans="1:39">
      <c r="C485" s="4">
        <v>4</v>
      </c>
      <c r="D485" s="96" t="s">
        <v>207</v>
      </c>
      <c r="E485" s="60">
        <v>0.6</v>
      </c>
      <c r="G485" s="75">
        <f t="shared" si="65"/>
        <v>0.6</v>
      </c>
      <c r="I485" s="7" t="s">
        <v>22</v>
      </c>
      <c r="K485" s="56">
        <f t="shared" si="66"/>
        <v>0.8</v>
      </c>
      <c r="M485" s="13">
        <v>6.75</v>
      </c>
      <c r="O485" s="13">
        <v>6</v>
      </c>
      <c r="Q485" s="13">
        <v>6.25</v>
      </c>
      <c r="S485" s="13">
        <v>7.25</v>
      </c>
      <c r="U485" s="13">
        <v>7</v>
      </c>
      <c r="W485" s="9">
        <f t="shared" si="67"/>
        <v>6.666666666666667</v>
      </c>
      <c r="Y485" s="9">
        <f t="shared" si="68"/>
        <v>3.2</v>
      </c>
    </row>
    <row r="486" spans="1:39">
      <c r="C486" s="4">
        <v>5</v>
      </c>
      <c r="D486" s="96" t="s">
        <v>206</v>
      </c>
      <c r="E486" s="60">
        <v>2.1</v>
      </c>
      <c r="G486" s="75">
        <f t="shared" si="65"/>
        <v>2.1</v>
      </c>
      <c r="I486" s="7" t="s">
        <v>22</v>
      </c>
      <c r="K486" s="56">
        <f t="shared" si="66"/>
        <v>1</v>
      </c>
      <c r="M486" s="13">
        <v>8.5</v>
      </c>
      <c r="O486" s="13">
        <v>6.5</v>
      </c>
      <c r="Q486" s="13">
        <v>7.75</v>
      </c>
      <c r="S486" s="13">
        <v>6.5</v>
      </c>
      <c r="U486" s="13">
        <v>6.25</v>
      </c>
      <c r="W486" s="9">
        <f t="shared" si="67"/>
        <v>6.916666666666667</v>
      </c>
      <c r="Y486" s="9">
        <f t="shared" si="68"/>
        <v>14.525</v>
      </c>
    </row>
    <row r="487" spans="1:39">
      <c r="C487" s="4">
        <v>6</v>
      </c>
      <c r="D487" s="96" t="s">
        <v>208</v>
      </c>
      <c r="E487" s="60">
        <v>2.7</v>
      </c>
      <c r="G487" s="75">
        <f t="shared" si="65"/>
        <v>2.7</v>
      </c>
      <c r="I487" s="7" t="s">
        <v>22</v>
      </c>
      <c r="K487" s="56">
        <f t="shared" si="66"/>
        <v>1</v>
      </c>
      <c r="M487" s="13">
        <v>6.75</v>
      </c>
      <c r="O487" s="13">
        <v>6</v>
      </c>
      <c r="Q487" s="13">
        <v>6.75</v>
      </c>
      <c r="S487" s="13">
        <v>7</v>
      </c>
      <c r="U487" s="13">
        <v>6.75</v>
      </c>
      <c r="W487" s="9">
        <f t="shared" si="67"/>
        <v>6.75</v>
      </c>
      <c r="Y487" s="9">
        <f t="shared" si="68"/>
        <v>18.225000000000001</v>
      </c>
    </row>
    <row r="488" spans="1:39">
      <c r="C488" s="4">
        <v>7</v>
      </c>
      <c r="D488" s="96" t="s">
        <v>283</v>
      </c>
      <c r="E488" s="60">
        <v>1.2</v>
      </c>
      <c r="G488" s="75">
        <f t="shared" si="65"/>
        <v>1.2</v>
      </c>
      <c r="I488" s="7" t="s">
        <v>22</v>
      </c>
      <c r="K488" s="56">
        <f t="shared" si="66"/>
        <v>0.8</v>
      </c>
      <c r="M488" s="13">
        <v>8</v>
      </c>
      <c r="O488" s="13">
        <v>8</v>
      </c>
      <c r="Q488" s="13">
        <v>8</v>
      </c>
      <c r="S488" s="13">
        <v>8</v>
      </c>
      <c r="U488" s="13">
        <v>8</v>
      </c>
      <c r="W488" s="9">
        <f t="shared" si="67"/>
        <v>8</v>
      </c>
      <c r="Y488" s="9">
        <f t="shared" si="68"/>
        <v>7.68</v>
      </c>
    </row>
    <row r="489" spans="1:39">
      <c r="C489" s="4">
        <v>8</v>
      </c>
      <c r="D489" s="96" t="s">
        <v>164</v>
      </c>
      <c r="E489" s="60">
        <v>2.7</v>
      </c>
      <c r="G489" s="75">
        <f t="shared" si="65"/>
        <v>2.7</v>
      </c>
      <c r="I489" s="7" t="s">
        <v>22</v>
      </c>
      <c r="K489" s="56">
        <f t="shared" si="66"/>
        <v>0.2</v>
      </c>
      <c r="M489" s="13">
        <v>7</v>
      </c>
      <c r="O489" s="13">
        <v>6</v>
      </c>
      <c r="Q489" s="13">
        <v>6.25</v>
      </c>
      <c r="S489" s="13">
        <v>6.75</v>
      </c>
      <c r="U489" s="13">
        <v>6.5</v>
      </c>
      <c r="W489" s="9">
        <f t="shared" si="67"/>
        <v>6.5</v>
      </c>
      <c r="Y489" s="9">
        <f t="shared" si="68"/>
        <v>3.51</v>
      </c>
    </row>
    <row r="490" spans="1:39">
      <c r="C490" s="4">
        <v>9</v>
      </c>
      <c r="D490" s="96" t="s">
        <v>164</v>
      </c>
      <c r="E490" s="60">
        <v>0.7</v>
      </c>
      <c r="G490" s="75">
        <f t="shared" si="65"/>
        <v>0.7</v>
      </c>
      <c r="I490" s="7" t="s">
        <v>22</v>
      </c>
      <c r="K490" s="56">
        <f t="shared" si="66"/>
        <v>0.2</v>
      </c>
      <c r="M490" s="13">
        <v>6.75</v>
      </c>
      <c r="O490" s="13">
        <v>6</v>
      </c>
      <c r="Q490" s="13">
        <v>6</v>
      </c>
      <c r="S490" s="13">
        <v>6.75</v>
      </c>
      <c r="U490" s="13">
        <v>6.5</v>
      </c>
      <c r="W490" s="9">
        <f t="shared" si="67"/>
        <v>6.416666666666667</v>
      </c>
      <c r="Y490" s="9">
        <f t="shared" si="68"/>
        <v>0.89829999999999999</v>
      </c>
    </row>
    <row r="491" spans="1:39">
      <c r="U491" s="11" t="s">
        <v>23</v>
      </c>
      <c r="Y491" s="9">
        <f>SUM(Y482:Y490)</f>
        <v>74.544100000000014</v>
      </c>
    </row>
    <row r="492" spans="1:39">
      <c r="C492" s="8" t="s">
        <v>163</v>
      </c>
      <c r="U492" s="11" t="s">
        <v>24</v>
      </c>
      <c r="Y492" s="27">
        <v>7.7</v>
      </c>
    </row>
    <row r="493" spans="1:39">
      <c r="U493" s="11" t="s">
        <v>25</v>
      </c>
      <c r="Y493" s="27"/>
    </row>
    <row r="494" spans="1:39">
      <c r="U494" s="11" t="s">
        <v>26</v>
      </c>
      <c r="Y494" s="9">
        <f>Y491-Y492-Y493</f>
        <v>66.844100000000012</v>
      </c>
    </row>
    <row r="495" spans="1:39" ht="15">
      <c r="D495" s="12" t="s">
        <v>27</v>
      </c>
      <c r="U495" s="11"/>
    </row>
    <row r="496" spans="1:39">
      <c r="D496" s="2" t="s">
        <v>28</v>
      </c>
      <c r="K496" s="62">
        <f>$H$8</f>
        <v>1.5</v>
      </c>
      <c r="M496" s="13">
        <v>8.25</v>
      </c>
      <c r="O496" s="13">
        <v>7.25</v>
      </c>
      <c r="Q496" s="13">
        <v>7.75</v>
      </c>
      <c r="S496" s="13">
        <v>7.25</v>
      </c>
      <c r="U496" s="13">
        <v>7.75</v>
      </c>
      <c r="Y496" s="9">
        <f>ROUND((SUM(M496:U496)-MAX(M496:U496)-MIN(M496:U496))*K496,4)</f>
        <v>34.125</v>
      </c>
    </row>
    <row r="497" spans="1:39">
      <c r="D497" s="2" t="s">
        <v>29</v>
      </c>
      <c r="K497" s="62">
        <f>$K$8</f>
        <v>1.3</v>
      </c>
      <c r="M497" s="13">
        <v>7.5</v>
      </c>
      <c r="O497" s="13">
        <v>7.5</v>
      </c>
      <c r="Q497" s="13">
        <v>7.5</v>
      </c>
      <c r="S497" s="13">
        <v>6.75</v>
      </c>
      <c r="U497" s="13">
        <v>7.75</v>
      </c>
      <c r="Y497" s="9">
        <f>ROUND((SUM(M497:U497)-MAX(M497:U497)-MIN(M497:U497))*K497,4)</f>
        <v>29.25</v>
      </c>
    </row>
    <row r="498" spans="1:39">
      <c r="D498" s="2" t="s">
        <v>30</v>
      </c>
      <c r="K498" s="62">
        <f>$N$8</f>
        <v>1.5</v>
      </c>
      <c r="M498" s="13">
        <v>7.75</v>
      </c>
      <c r="O498" s="13">
        <v>7.75</v>
      </c>
      <c r="Q498" s="13">
        <v>7.5</v>
      </c>
      <c r="S498" s="13">
        <v>7</v>
      </c>
      <c r="U498" s="13">
        <v>7.75</v>
      </c>
      <c r="Y498" s="9">
        <f>ROUND((SUM(M498:U498)-MAX(M498:U498)-MIN(M498:U498))*K498,4)</f>
        <v>34.5</v>
      </c>
    </row>
    <row r="499" spans="1:39">
      <c r="U499" s="11" t="s">
        <v>31</v>
      </c>
      <c r="Y499" s="9">
        <f>SUM(Y496:Y498)</f>
        <v>97.875</v>
      </c>
    </row>
    <row r="500" spans="1:39">
      <c r="U500" s="11" t="s">
        <v>32</v>
      </c>
      <c r="Y500" s="27"/>
    </row>
    <row r="501" spans="1:39">
      <c r="U501" s="11" t="s">
        <v>33</v>
      </c>
      <c r="Y501" s="9">
        <f>Y499-Y500</f>
        <v>97.875</v>
      </c>
    </row>
    <row r="503" spans="1:39">
      <c r="C503" s="3" t="s">
        <v>4</v>
      </c>
      <c r="D503" s="40" t="s">
        <v>215</v>
      </c>
      <c r="E503" s="58"/>
    </row>
    <row r="504" spans="1:39">
      <c r="C504" s="3" t="s">
        <v>5</v>
      </c>
      <c r="D504" s="40" t="s">
        <v>216</v>
      </c>
      <c r="E504" s="58"/>
    </row>
    <row r="505" spans="1:39">
      <c r="C505" s="3" t="s">
        <v>6</v>
      </c>
      <c r="D505" s="40" t="s">
        <v>217</v>
      </c>
      <c r="E505" s="58"/>
    </row>
    <row r="506" spans="1:39">
      <c r="C506" s="3" t="s">
        <v>7</v>
      </c>
      <c r="D506" s="40" t="s">
        <v>218</v>
      </c>
      <c r="E506" s="58"/>
      <c r="AB506" s="42" t="s">
        <v>104</v>
      </c>
      <c r="AE506" s="2" t="s">
        <v>47</v>
      </c>
    </row>
    <row r="507" spans="1:39" ht="6.75" customHeight="1">
      <c r="C507" s="4"/>
      <c r="D507" s="40"/>
      <c r="E507" s="58"/>
      <c r="AB507" s="42"/>
    </row>
    <row r="508" spans="1:39" ht="15">
      <c r="A508" s="2" t="s">
        <v>20</v>
      </c>
      <c r="B508" s="14" t="s">
        <v>34</v>
      </c>
      <c r="C508" s="3" t="s">
        <v>8</v>
      </c>
      <c r="D508" s="2" t="s">
        <v>1</v>
      </c>
      <c r="E508" s="57">
        <f>SUM(E511:E519)</f>
        <v>18.799999999999997</v>
      </c>
      <c r="M508" s="6" t="s">
        <v>12</v>
      </c>
      <c r="O508" s="6" t="s">
        <v>13</v>
      </c>
      <c r="Q508" s="6" t="s">
        <v>14</v>
      </c>
      <c r="S508" s="6" t="s">
        <v>15</v>
      </c>
      <c r="U508" s="6" t="s">
        <v>16</v>
      </c>
      <c r="W508" s="9" t="s">
        <v>17</v>
      </c>
      <c r="Y508" s="9" t="s">
        <v>18</v>
      </c>
      <c r="AB508" s="42" t="s">
        <v>105</v>
      </c>
      <c r="AC508" s="2" t="s">
        <v>19</v>
      </c>
      <c r="AE508" s="3" t="s">
        <v>4</v>
      </c>
      <c r="AF508" s="3" t="s">
        <v>5</v>
      </c>
      <c r="AG508" s="3" t="s">
        <v>6</v>
      </c>
      <c r="AH508" s="3" t="s">
        <v>7</v>
      </c>
      <c r="AI508" s="5" t="s">
        <v>2</v>
      </c>
      <c r="AJ508" s="12" t="s">
        <v>27</v>
      </c>
      <c r="AK508" s="12" t="s">
        <v>109</v>
      </c>
      <c r="AL508" s="2" t="s">
        <v>105</v>
      </c>
      <c r="AM508" s="2" t="s">
        <v>19</v>
      </c>
    </row>
    <row r="509" spans="1:39" ht="6.75" customHeight="1">
      <c r="C509" s="4"/>
      <c r="D509" s="40"/>
      <c r="E509" s="58"/>
    </row>
    <row r="510" spans="1:39" ht="15">
      <c r="D510" s="41" t="s">
        <v>107</v>
      </c>
      <c r="E510" s="59" t="s">
        <v>9</v>
      </c>
      <c r="G510" s="2" t="s">
        <v>21</v>
      </c>
      <c r="I510" s="2" t="s">
        <v>10</v>
      </c>
      <c r="K510" s="2" t="s">
        <v>11</v>
      </c>
    </row>
    <row r="511" spans="1:39">
      <c r="A511" s="2">
        <f>RANK(AC511,$AC$18:$AC$600,0)</f>
        <v>15</v>
      </c>
      <c r="B511" s="10">
        <v>18</v>
      </c>
      <c r="C511" s="4">
        <v>1</v>
      </c>
      <c r="D511" s="96" t="s">
        <v>164</v>
      </c>
      <c r="E511" s="60">
        <v>0.75</v>
      </c>
      <c r="G511" s="75">
        <f>_xlfn.IFS(I511="　",E511,IF(COUNTIF(D511,"*Acro-Pair*")&gt;=1,AND(I511="*")),"0.100",I511="*",0.5,I511="**",0)</f>
        <v>0.75</v>
      </c>
      <c r="I511" s="7" t="s">
        <v>22</v>
      </c>
      <c r="K511" s="56">
        <f>IF(D511="","",IF(COUNTIF(D511,"*HYB*")&gt;=1,$D$8,IF(AND(COUNTIF(D511,"*Acro*")&gt;=1),$E$8,IF(AND(COUNTIF(D511,"*TRE*")&gt;=1),$G$8))))</f>
        <v>0.2</v>
      </c>
      <c r="M511" s="13">
        <v>9</v>
      </c>
      <c r="O511" s="13">
        <v>9.5</v>
      </c>
      <c r="Q511" s="13">
        <v>9</v>
      </c>
      <c r="S511" s="13">
        <v>8</v>
      </c>
      <c r="U511" s="13">
        <v>7.5</v>
      </c>
      <c r="W511" s="9">
        <f>(SUM(M511:U511)-MAX(M511:U511)-MIN(M511:U511))/3</f>
        <v>8.6666666666666661</v>
      </c>
      <c r="Y511" s="9">
        <f>IF(D511="","",ROUND(W511*G511*K511,4))</f>
        <v>1.3</v>
      </c>
      <c r="AB511" s="55">
        <v>1.5</v>
      </c>
      <c r="AC511" s="64">
        <f>Y523+Y530-AB511-AB512</f>
        <v>157.3741</v>
      </c>
      <c r="AE511" s="37" t="str">
        <f>D503</f>
        <v>上アーティスティックスイミングクラブ</v>
      </c>
      <c r="AF511" s="37" t="str">
        <f>D504</f>
        <v>上アーティスティックスイミングクラブA</v>
      </c>
      <c r="AG511" s="37" t="str">
        <f>D505</f>
        <v>佐藤たみこ/内藤はるか/松藤やくみ</v>
      </c>
      <c r="AH511" s="37" t="str">
        <f>D506</f>
        <v>わかな</v>
      </c>
      <c r="AI511" s="66">
        <f>Y523</f>
        <v>60.999100000000013</v>
      </c>
      <c r="AJ511" s="39">
        <f>Y530</f>
        <v>97.875</v>
      </c>
      <c r="AK511" s="65">
        <f>AB511</f>
        <v>1.5</v>
      </c>
      <c r="AL511" s="65">
        <f>AB512</f>
        <v>0</v>
      </c>
      <c r="AM511" s="64">
        <f>AC511</f>
        <v>157.3741</v>
      </c>
    </row>
    <row r="512" spans="1:39">
      <c r="C512" s="4">
        <v>2</v>
      </c>
      <c r="D512" s="96" t="s">
        <v>164</v>
      </c>
      <c r="E512" s="60">
        <v>5.95</v>
      </c>
      <c r="G512" s="75">
        <f t="shared" ref="G512:G519" si="69">_xlfn.IFS(I512="　",E512,IF(COUNTIF(D512,"*Acro-Pair*")&gt;=1,AND(I512="*")),"0.100",I512="*",0.5,I512="**",0)</f>
        <v>5.95</v>
      </c>
      <c r="I512" s="7" t="s">
        <v>22</v>
      </c>
      <c r="K512" s="56">
        <f t="shared" ref="K512:K519" si="70">IF(D512="","",IF(COUNTIF(D512,"*HYB*")&gt;=1,$D$8,IF(AND(COUNTIF(D512,"*Acro*")&gt;=1),$E$8,IF(AND(COUNTIF(D512,"*TRE*")&gt;=1),$G$8))))</f>
        <v>0.2</v>
      </c>
      <c r="M512" s="13">
        <v>7.25</v>
      </c>
      <c r="O512" s="13">
        <v>6.25</v>
      </c>
      <c r="Q512" s="13">
        <v>6.5</v>
      </c>
      <c r="S512" s="13">
        <v>7.25</v>
      </c>
      <c r="U512" s="13">
        <v>7</v>
      </c>
      <c r="W512" s="9">
        <f t="shared" ref="W512:W519" si="71">(SUM(M512:U512)-MAX(M512:U512)-MIN(M512:U512))/3</f>
        <v>6.916666666666667</v>
      </c>
      <c r="Y512" s="9">
        <f t="shared" ref="Y512:Y519" si="72">IF(D512="","",ROUND(W512*G512*K512,4))</f>
        <v>8.2308000000000003</v>
      </c>
      <c r="AB512" s="55"/>
    </row>
    <row r="513" spans="3:25">
      <c r="C513" s="4">
        <v>3</v>
      </c>
      <c r="D513" s="96" t="s">
        <v>206</v>
      </c>
      <c r="E513" s="60">
        <v>2.1</v>
      </c>
      <c r="G513" s="75">
        <f t="shared" si="69"/>
        <v>2.1</v>
      </c>
      <c r="I513" s="7" t="s">
        <v>22</v>
      </c>
      <c r="K513" s="56">
        <f t="shared" si="70"/>
        <v>1</v>
      </c>
      <c r="M513" s="13">
        <v>8.75</v>
      </c>
      <c r="O513" s="13">
        <v>8.25</v>
      </c>
      <c r="Q513" s="13">
        <v>8.5</v>
      </c>
      <c r="S513" s="13">
        <v>7</v>
      </c>
      <c r="U513" s="13">
        <v>7.5</v>
      </c>
      <c r="W513" s="9">
        <f t="shared" si="71"/>
        <v>8.0833333333333339</v>
      </c>
      <c r="Y513" s="9">
        <f t="shared" si="72"/>
        <v>16.975000000000001</v>
      </c>
    </row>
    <row r="514" spans="3:25">
      <c r="C514" s="4">
        <v>4</v>
      </c>
      <c r="D514" s="96" t="s">
        <v>207</v>
      </c>
      <c r="E514" s="60">
        <v>0.6</v>
      </c>
      <c r="G514" s="75">
        <f t="shared" si="69"/>
        <v>0.6</v>
      </c>
      <c r="I514" s="7" t="s">
        <v>22</v>
      </c>
      <c r="K514" s="56">
        <f t="shared" si="70"/>
        <v>0.8</v>
      </c>
      <c r="M514" s="13">
        <v>6.75</v>
      </c>
      <c r="O514" s="13">
        <v>6</v>
      </c>
      <c r="Q514" s="13">
        <v>6.25</v>
      </c>
      <c r="S514" s="13">
        <v>7.25</v>
      </c>
      <c r="U514" s="13">
        <v>7</v>
      </c>
      <c r="W514" s="9">
        <f t="shared" si="71"/>
        <v>6.666666666666667</v>
      </c>
      <c r="Y514" s="9">
        <f t="shared" si="72"/>
        <v>3.2</v>
      </c>
    </row>
    <row r="515" spans="3:25">
      <c r="C515" s="4">
        <v>5</v>
      </c>
      <c r="D515" s="96" t="s">
        <v>206</v>
      </c>
      <c r="E515" s="60">
        <v>2.1</v>
      </c>
      <c r="G515" s="75">
        <f t="shared" si="69"/>
        <v>2.1</v>
      </c>
      <c r="I515" s="7" t="s">
        <v>22</v>
      </c>
      <c r="K515" s="56">
        <f t="shared" si="70"/>
        <v>1</v>
      </c>
      <c r="M515" s="13">
        <v>8.5</v>
      </c>
      <c r="O515" s="13">
        <v>6.5</v>
      </c>
      <c r="Q515" s="13">
        <v>7.75</v>
      </c>
      <c r="S515" s="13">
        <v>6.5</v>
      </c>
      <c r="U515" s="13">
        <v>6.25</v>
      </c>
      <c r="W515" s="9">
        <f t="shared" si="71"/>
        <v>6.916666666666667</v>
      </c>
      <c r="Y515" s="9">
        <f t="shared" si="72"/>
        <v>14.525</v>
      </c>
    </row>
    <row r="516" spans="3:25">
      <c r="C516" s="4">
        <v>6</v>
      </c>
      <c r="D516" s="96" t="s">
        <v>208</v>
      </c>
      <c r="E516" s="60">
        <v>2.7</v>
      </c>
      <c r="G516" s="75">
        <f t="shared" si="69"/>
        <v>2.7</v>
      </c>
      <c r="I516" s="7" t="s">
        <v>22</v>
      </c>
      <c r="K516" s="56">
        <f t="shared" si="70"/>
        <v>1</v>
      </c>
      <c r="M516" s="13">
        <v>5</v>
      </c>
      <c r="O516" s="13">
        <v>5</v>
      </c>
      <c r="Q516" s="13">
        <v>5</v>
      </c>
      <c r="S516" s="13">
        <v>5</v>
      </c>
      <c r="U516" s="13">
        <v>5</v>
      </c>
      <c r="W516" s="9">
        <f t="shared" si="71"/>
        <v>5</v>
      </c>
      <c r="Y516" s="9">
        <f t="shared" si="72"/>
        <v>13.5</v>
      </c>
    </row>
    <row r="517" spans="3:25">
      <c r="C517" s="4">
        <v>7</v>
      </c>
      <c r="D517" s="96" t="s">
        <v>283</v>
      </c>
      <c r="E517" s="60">
        <v>1.2</v>
      </c>
      <c r="G517" s="75">
        <f t="shared" si="69"/>
        <v>1.2</v>
      </c>
      <c r="I517" s="7" t="s">
        <v>22</v>
      </c>
      <c r="K517" s="56">
        <f t="shared" si="70"/>
        <v>0.8</v>
      </c>
      <c r="M517" s="13">
        <v>7</v>
      </c>
      <c r="O517" s="13">
        <v>6.5</v>
      </c>
      <c r="Q517" s="13">
        <v>6.75</v>
      </c>
      <c r="S517" s="13">
        <v>7</v>
      </c>
      <c r="U517" s="13">
        <v>6.75</v>
      </c>
      <c r="W517" s="9">
        <f t="shared" si="71"/>
        <v>6.833333333333333</v>
      </c>
      <c r="Y517" s="9">
        <f t="shared" si="72"/>
        <v>6.56</v>
      </c>
    </row>
    <row r="518" spans="3:25">
      <c r="C518" s="4">
        <v>8</v>
      </c>
      <c r="D518" s="96" t="s">
        <v>164</v>
      </c>
      <c r="E518" s="60">
        <v>2.7</v>
      </c>
      <c r="G518" s="75">
        <f t="shared" si="69"/>
        <v>2.7</v>
      </c>
      <c r="I518" s="7" t="s">
        <v>22</v>
      </c>
      <c r="K518" s="56">
        <f t="shared" si="70"/>
        <v>0.2</v>
      </c>
      <c r="M518" s="13">
        <v>7</v>
      </c>
      <c r="O518" s="13">
        <v>6</v>
      </c>
      <c r="Q518" s="13">
        <v>6.25</v>
      </c>
      <c r="S518" s="13">
        <v>6.75</v>
      </c>
      <c r="U518" s="13">
        <v>6.5</v>
      </c>
      <c r="W518" s="9">
        <f t="shared" si="71"/>
        <v>6.5</v>
      </c>
      <c r="Y518" s="9">
        <f t="shared" si="72"/>
        <v>3.51</v>
      </c>
    </row>
    <row r="519" spans="3:25">
      <c r="C519" s="4">
        <v>9</v>
      </c>
      <c r="D519" s="96" t="s">
        <v>164</v>
      </c>
      <c r="E519" s="60">
        <v>0.7</v>
      </c>
      <c r="G519" s="75">
        <f t="shared" si="69"/>
        <v>0.7</v>
      </c>
      <c r="I519" s="7" t="s">
        <v>22</v>
      </c>
      <c r="K519" s="56">
        <f t="shared" si="70"/>
        <v>0.2</v>
      </c>
      <c r="M519" s="13">
        <v>6.75</v>
      </c>
      <c r="O519" s="13">
        <v>6</v>
      </c>
      <c r="Q519" s="13">
        <v>6</v>
      </c>
      <c r="S519" s="13">
        <v>6.75</v>
      </c>
      <c r="U519" s="13">
        <v>6.5</v>
      </c>
      <c r="W519" s="9">
        <f t="shared" si="71"/>
        <v>6.416666666666667</v>
      </c>
      <c r="Y519" s="9">
        <f t="shared" si="72"/>
        <v>0.89829999999999999</v>
      </c>
    </row>
    <row r="520" spans="3:25">
      <c r="U520" s="11" t="s">
        <v>23</v>
      </c>
      <c r="Y520" s="9">
        <f>SUM(Y511:Y519)</f>
        <v>68.699100000000016</v>
      </c>
    </row>
    <row r="521" spans="3:25">
      <c r="C521" s="8" t="s">
        <v>163</v>
      </c>
      <c r="U521" s="11" t="s">
        <v>24</v>
      </c>
      <c r="Y521" s="27">
        <v>7.7</v>
      </c>
    </row>
    <row r="522" spans="3:25">
      <c r="U522" s="11" t="s">
        <v>25</v>
      </c>
      <c r="Y522" s="27"/>
    </row>
    <row r="523" spans="3:25">
      <c r="U523" s="11" t="s">
        <v>26</v>
      </c>
      <c r="Y523" s="9">
        <f>Y520-Y521-Y522</f>
        <v>60.999100000000013</v>
      </c>
    </row>
    <row r="524" spans="3:25" ht="15">
      <c r="D524" s="12" t="s">
        <v>27</v>
      </c>
      <c r="U524" s="11"/>
    </row>
    <row r="525" spans="3:25">
      <c r="D525" s="2" t="s">
        <v>28</v>
      </c>
      <c r="K525" s="62">
        <f>$H$8</f>
        <v>1.5</v>
      </c>
      <c r="M525" s="13">
        <v>8.25</v>
      </c>
      <c r="O525" s="13">
        <v>7.25</v>
      </c>
      <c r="Q525" s="13">
        <v>7.75</v>
      </c>
      <c r="S525" s="13">
        <v>7.25</v>
      </c>
      <c r="U525" s="13">
        <v>7.75</v>
      </c>
      <c r="Y525" s="9">
        <f>ROUND((SUM(M525:U525)-MAX(M525:U525)-MIN(M525:U525))*K525,4)</f>
        <v>34.125</v>
      </c>
    </row>
    <row r="526" spans="3:25">
      <c r="D526" s="2" t="s">
        <v>29</v>
      </c>
      <c r="K526" s="62">
        <f>$K$8</f>
        <v>1.3</v>
      </c>
      <c r="M526" s="13">
        <v>7.5</v>
      </c>
      <c r="O526" s="13">
        <v>7.5</v>
      </c>
      <c r="Q526" s="13">
        <v>7.5</v>
      </c>
      <c r="S526" s="13">
        <v>6.75</v>
      </c>
      <c r="U526" s="13">
        <v>7.75</v>
      </c>
      <c r="Y526" s="9">
        <f>ROUND((SUM(M526:U526)-MAX(M526:U526)-MIN(M526:U526))*K526,4)</f>
        <v>29.25</v>
      </c>
    </row>
    <row r="527" spans="3:25">
      <c r="D527" s="2" t="s">
        <v>30</v>
      </c>
      <c r="K527" s="62">
        <f>$N$8</f>
        <v>1.5</v>
      </c>
      <c r="M527" s="13">
        <v>7.75</v>
      </c>
      <c r="O527" s="13">
        <v>7.75</v>
      </c>
      <c r="Q527" s="13">
        <v>7.5</v>
      </c>
      <c r="S527" s="13">
        <v>7</v>
      </c>
      <c r="U527" s="13">
        <v>7.75</v>
      </c>
      <c r="Y527" s="9">
        <f>ROUND((SUM(M527:U527)-MAX(M527:U527)-MIN(M527:U527))*K527,4)</f>
        <v>34.5</v>
      </c>
    </row>
    <row r="528" spans="3:25">
      <c r="U528" s="11" t="s">
        <v>31</v>
      </c>
      <c r="Y528" s="9">
        <f>SUM(Y525:Y527)</f>
        <v>97.875</v>
      </c>
    </row>
    <row r="529" spans="1:39">
      <c r="U529" s="11" t="s">
        <v>32</v>
      </c>
      <c r="Y529" s="27"/>
    </row>
    <row r="530" spans="1:39">
      <c r="U530" s="11" t="s">
        <v>33</v>
      </c>
      <c r="Y530" s="9">
        <f>Y528-Y529</f>
        <v>97.875</v>
      </c>
    </row>
    <row r="532" spans="1:39">
      <c r="C532" s="3" t="s">
        <v>4</v>
      </c>
      <c r="D532" s="99" t="s">
        <v>212</v>
      </c>
      <c r="E532" s="58"/>
    </row>
    <row r="533" spans="1:39">
      <c r="C533" s="3" t="s">
        <v>5</v>
      </c>
      <c r="D533" s="100" t="s">
        <v>213</v>
      </c>
      <c r="E533" s="58"/>
    </row>
    <row r="534" spans="1:39">
      <c r="C534" s="3" t="s">
        <v>6</v>
      </c>
      <c r="D534" s="100" t="s">
        <v>214</v>
      </c>
      <c r="E534" s="58"/>
    </row>
    <row r="535" spans="1:39">
      <c r="C535" s="3" t="s">
        <v>7</v>
      </c>
      <c r="D535" s="100"/>
      <c r="E535" s="58"/>
      <c r="AB535" s="42" t="s">
        <v>104</v>
      </c>
      <c r="AE535" s="2" t="s">
        <v>47</v>
      </c>
    </row>
    <row r="536" spans="1:39" ht="6.75" customHeight="1">
      <c r="C536" s="4"/>
      <c r="D536" s="40"/>
      <c r="E536" s="58"/>
      <c r="AB536" s="42"/>
    </row>
    <row r="537" spans="1:39" ht="15">
      <c r="A537" s="2" t="s">
        <v>20</v>
      </c>
      <c r="B537" s="14" t="s">
        <v>34</v>
      </c>
      <c r="C537" s="3" t="s">
        <v>8</v>
      </c>
      <c r="D537" s="2" t="s">
        <v>1</v>
      </c>
      <c r="E537" s="57">
        <f>SUM(E540:E548)</f>
        <v>18.799999999999997</v>
      </c>
      <c r="M537" s="6" t="s">
        <v>12</v>
      </c>
      <c r="O537" s="6" t="s">
        <v>13</v>
      </c>
      <c r="Q537" s="6" t="s">
        <v>14</v>
      </c>
      <c r="S537" s="6" t="s">
        <v>15</v>
      </c>
      <c r="U537" s="6" t="s">
        <v>16</v>
      </c>
      <c r="W537" s="9" t="s">
        <v>17</v>
      </c>
      <c r="Y537" s="9" t="s">
        <v>18</v>
      </c>
      <c r="AB537" s="42" t="s">
        <v>105</v>
      </c>
      <c r="AC537" s="2" t="s">
        <v>19</v>
      </c>
      <c r="AE537" s="3" t="s">
        <v>4</v>
      </c>
      <c r="AF537" s="3" t="s">
        <v>5</v>
      </c>
      <c r="AG537" s="3" t="s">
        <v>6</v>
      </c>
      <c r="AH537" s="3" t="s">
        <v>7</v>
      </c>
      <c r="AI537" s="5" t="s">
        <v>2</v>
      </c>
      <c r="AJ537" s="12" t="s">
        <v>27</v>
      </c>
      <c r="AK537" s="12" t="s">
        <v>109</v>
      </c>
      <c r="AL537" s="2" t="s">
        <v>105</v>
      </c>
      <c r="AM537" s="2" t="s">
        <v>19</v>
      </c>
    </row>
    <row r="538" spans="1:39" ht="6.75" customHeight="1">
      <c r="C538" s="4"/>
      <c r="D538" s="40"/>
      <c r="E538" s="58"/>
    </row>
    <row r="539" spans="1:39" ht="15">
      <c r="D539" s="41" t="s">
        <v>107</v>
      </c>
      <c r="E539" s="59" t="s">
        <v>9</v>
      </c>
      <c r="G539" s="2" t="s">
        <v>21</v>
      </c>
      <c r="I539" s="2" t="s">
        <v>10</v>
      </c>
      <c r="K539" s="2" t="s">
        <v>11</v>
      </c>
    </row>
    <row r="540" spans="1:39">
      <c r="A540" s="2">
        <f>RANK(AC540,$AC$18:$AC$600,0)</f>
        <v>2</v>
      </c>
      <c r="B540" s="10">
        <v>19</v>
      </c>
      <c r="C540" s="4">
        <v>1</v>
      </c>
      <c r="D540" s="96" t="s">
        <v>164</v>
      </c>
      <c r="E540" s="60">
        <v>0.75</v>
      </c>
      <c r="G540" s="75">
        <f>_xlfn.IFS(I540="　",E540,IF(COUNTIF(D540,"*Acro-Pair*")&gt;=1,AND(I540="*")),"0.100",I540="*",0.5,I540="**",0)</f>
        <v>0.75</v>
      </c>
      <c r="I540" s="7" t="s">
        <v>22</v>
      </c>
      <c r="K540" s="56">
        <f>IF(D540="","",IF(COUNTIF(D540,"*HYB*")&gt;=1,$D$8,IF(AND(COUNTIF(D540,"*Acro*")&gt;=1),$E$8,IF(AND(COUNTIF(D540,"*TRE*")&gt;=1),$G$8))))</f>
        <v>0.2</v>
      </c>
      <c r="M540" s="13">
        <v>9</v>
      </c>
      <c r="O540" s="13">
        <v>9.5</v>
      </c>
      <c r="Q540" s="13">
        <v>9</v>
      </c>
      <c r="S540" s="13">
        <v>8</v>
      </c>
      <c r="U540" s="13">
        <v>7.5</v>
      </c>
      <c r="W540" s="9">
        <f>(SUM(M540:U540)-MAX(M540:U540)-MIN(M540:U540))/3</f>
        <v>8.6666666666666661</v>
      </c>
      <c r="Y540" s="9">
        <f>IF(D540="","",ROUND(W540*G540*K540,4))</f>
        <v>1.3</v>
      </c>
      <c r="AB540" s="55">
        <v>1.5</v>
      </c>
      <c r="AC540" s="64">
        <f>Y552+Y559-AB540-AB541</f>
        <v>163.44080000000002</v>
      </c>
      <c r="AE540" s="37" t="str">
        <f>D532</f>
        <v>下アーティスティックスイミングクラブ</v>
      </c>
      <c r="AF540" s="37" t="str">
        <f>D533</f>
        <v>下アーティスティックスイミングクラブA</v>
      </c>
      <c r="AG540" s="37" t="str">
        <f>D534</f>
        <v>来らんらん/若わかな/加かみ</v>
      </c>
      <c r="AH540" s="37">
        <f>D535</f>
        <v>0</v>
      </c>
      <c r="AI540" s="66">
        <f>Y552</f>
        <v>67.06580000000001</v>
      </c>
      <c r="AJ540" s="39">
        <f>Y559</f>
        <v>97.875</v>
      </c>
      <c r="AK540" s="65">
        <f>AB540</f>
        <v>1.5</v>
      </c>
      <c r="AL540" s="65">
        <f>AB541</f>
        <v>0</v>
      </c>
      <c r="AM540" s="64">
        <f>AC540</f>
        <v>163.44080000000002</v>
      </c>
    </row>
    <row r="541" spans="1:39">
      <c r="C541" s="4">
        <v>2</v>
      </c>
      <c r="D541" s="96" t="s">
        <v>164</v>
      </c>
      <c r="E541" s="60">
        <v>5.95</v>
      </c>
      <c r="G541" s="75">
        <f t="shared" ref="G541:G548" si="73">_xlfn.IFS(I541="　",E541,IF(COUNTIF(D541,"*Acro-Pair*")&gt;=1,AND(I541="*")),"0.100",I541="*",0.5,I541="**",0)</f>
        <v>5.95</v>
      </c>
      <c r="I541" s="7" t="s">
        <v>22</v>
      </c>
      <c r="K541" s="56">
        <f t="shared" ref="K541:K548" si="74">IF(D541="","",IF(COUNTIF(D541,"*HYB*")&gt;=1,$D$8,IF(AND(COUNTIF(D541,"*Acro*")&gt;=1),$E$8,IF(AND(COUNTIF(D541,"*TRE*")&gt;=1),$G$8))))</f>
        <v>0.2</v>
      </c>
      <c r="M541" s="13">
        <v>7.25</v>
      </c>
      <c r="O541" s="13">
        <v>6.25</v>
      </c>
      <c r="Q541" s="13">
        <v>6.5</v>
      </c>
      <c r="S541" s="13">
        <v>7.25</v>
      </c>
      <c r="U541" s="13">
        <v>7</v>
      </c>
      <c r="W541" s="9">
        <f t="shared" ref="W541:W548" si="75">(SUM(M541:U541)-MAX(M541:U541)-MIN(M541:U541))/3</f>
        <v>6.916666666666667</v>
      </c>
      <c r="Y541" s="9">
        <f t="shared" ref="Y541:Y548" si="76">IF(D541="","",ROUND(W541*G541*K541,4))</f>
        <v>8.2308000000000003</v>
      </c>
      <c r="AB541" s="55"/>
    </row>
    <row r="542" spans="1:39">
      <c r="C542" s="4">
        <v>3</v>
      </c>
      <c r="D542" s="96" t="s">
        <v>206</v>
      </c>
      <c r="E542" s="60">
        <v>2.1</v>
      </c>
      <c r="G542" s="75">
        <f t="shared" si="73"/>
        <v>2.1</v>
      </c>
      <c r="I542" s="7" t="s">
        <v>22</v>
      </c>
      <c r="K542" s="56">
        <f t="shared" si="74"/>
        <v>1</v>
      </c>
      <c r="M542" s="13">
        <v>8.75</v>
      </c>
      <c r="O542" s="13">
        <v>8.25</v>
      </c>
      <c r="Q542" s="13">
        <v>8.5</v>
      </c>
      <c r="S542" s="13">
        <v>7</v>
      </c>
      <c r="U542" s="13">
        <v>7.5</v>
      </c>
      <c r="W542" s="9">
        <f t="shared" si="75"/>
        <v>8.0833333333333339</v>
      </c>
      <c r="Y542" s="9">
        <f t="shared" si="76"/>
        <v>16.975000000000001</v>
      </c>
    </row>
    <row r="543" spans="1:39">
      <c r="C543" s="4">
        <v>4</v>
      </c>
      <c r="D543" s="96" t="s">
        <v>207</v>
      </c>
      <c r="E543" s="60">
        <v>0.6</v>
      </c>
      <c r="G543" s="75">
        <f t="shared" si="73"/>
        <v>0.6</v>
      </c>
      <c r="I543" s="7" t="s">
        <v>22</v>
      </c>
      <c r="K543" s="56">
        <f t="shared" si="74"/>
        <v>0.8</v>
      </c>
      <c r="M543" s="13">
        <v>6.75</v>
      </c>
      <c r="O543" s="13">
        <v>6</v>
      </c>
      <c r="Q543" s="13">
        <v>6.25</v>
      </c>
      <c r="S543" s="13">
        <v>7.25</v>
      </c>
      <c r="U543" s="13">
        <v>7</v>
      </c>
      <c r="W543" s="9">
        <f t="shared" si="75"/>
        <v>6.666666666666667</v>
      </c>
      <c r="Y543" s="9">
        <f t="shared" si="76"/>
        <v>3.2</v>
      </c>
    </row>
    <row r="544" spans="1:39">
      <c r="C544" s="4">
        <v>5</v>
      </c>
      <c r="D544" s="96" t="s">
        <v>206</v>
      </c>
      <c r="E544" s="60">
        <v>2.1</v>
      </c>
      <c r="G544" s="75">
        <f t="shared" si="73"/>
        <v>2.1</v>
      </c>
      <c r="I544" s="7" t="s">
        <v>22</v>
      </c>
      <c r="K544" s="56">
        <f t="shared" si="74"/>
        <v>1</v>
      </c>
      <c r="M544" s="13">
        <v>8.5</v>
      </c>
      <c r="O544" s="13">
        <v>6.5</v>
      </c>
      <c r="Q544" s="13">
        <v>7.75</v>
      </c>
      <c r="S544" s="13">
        <v>6.5</v>
      </c>
      <c r="U544" s="13">
        <v>6.25</v>
      </c>
      <c r="W544" s="9">
        <f t="shared" si="75"/>
        <v>6.916666666666667</v>
      </c>
      <c r="Y544" s="9">
        <f t="shared" si="76"/>
        <v>14.525</v>
      </c>
    </row>
    <row r="545" spans="3:25">
      <c r="C545" s="4">
        <v>6</v>
      </c>
      <c r="D545" s="96" t="s">
        <v>208</v>
      </c>
      <c r="E545" s="60">
        <v>2.7</v>
      </c>
      <c r="G545" s="75">
        <f t="shared" si="73"/>
        <v>2.7</v>
      </c>
      <c r="I545" s="7" t="s">
        <v>22</v>
      </c>
      <c r="K545" s="56">
        <f t="shared" si="74"/>
        <v>1</v>
      </c>
      <c r="M545" s="13">
        <v>6.75</v>
      </c>
      <c r="O545" s="13">
        <v>6</v>
      </c>
      <c r="Q545" s="13">
        <v>6.75</v>
      </c>
      <c r="S545" s="13">
        <v>7</v>
      </c>
      <c r="U545" s="13">
        <v>6.75</v>
      </c>
      <c r="W545" s="9">
        <f t="shared" si="75"/>
        <v>6.75</v>
      </c>
      <c r="Y545" s="9">
        <f t="shared" si="76"/>
        <v>18.225000000000001</v>
      </c>
    </row>
    <row r="546" spans="3:25">
      <c r="C546" s="4">
        <v>7</v>
      </c>
      <c r="D546" s="96" t="s">
        <v>283</v>
      </c>
      <c r="E546" s="60">
        <v>1.2</v>
      </c>
      <c r="G546" s="75">
        <f t="shared" si="73"/>
        <v>1.2</v>
      </c>
      <c r="I546" s="7" t="s">
        <v>22</v>
      </c>
      <c r="K546" s="56">
        <f t="shared" si="74"/>
        <v>0.8</v>
      </c>
      <c r="M546" s="13">
        <v>8</v>
      </c>
      <c r="O546" s="13">
        <v>8</v>
      </c>
      <c r="Q546" s="13">
        <v>8</v>
      </c>
      <c r="S546" s="13">
        <v>8</v>
      </c>
      <c r="U546" s="13">
        <v>8</v>
      </c>
      <c r="W546" s="9">
        <f t="shared" si="75"/>
        <v>8</v>
      </c>
      <c r="Y546" s="9">
        <f t="shared" si="76"/>
        <v>7.68</v>
      </c>
    </row>
    <row r="547" spans="3:25">
      <c r="C547" s="4">
        <v>8</v>
      </c>
      <c r="D547" s="96" t="s">
        <v>164</v>
      </c>
      <c r="E547" s="60">
        <v>2.7</v>
      </c>
      <c r="G547" s="75">
        <f t="shared" si="73"/>
        <v>2.7</v>
      </c>
      <c r="I547" s="7" t="s">
        <v>22</v>
      </c>
      <c r="K547" s="56">
        <f t="shared" si="74"/>
        <v>0.2</v>
      </c>
      <c r="M547" s="13">
        <v>7</v>
      </c>
      <c r="O547" s="13">
        <v>6</v>
      </c>
      <c r="Q547" s="13">
        <v>6.25</v>
      </c>
      <c r="S547" s="13">
        <v>6.75</v>
      </c>
      <c r="U547" s="13">
        <v>6.5</v>
      </c>
      <c r="W547" s="9">
        <f t="shared" si="75"/>
        <v>6.5</v>
      </c>
      <c r="Y547" s="9">
        <f t="shared" si="76"/>
        <v>3.51</v>
      </c>
    </row>
    <row r="548" spans="3:25">
      <c r="C548" s="4">
        <v>9</v>
      </c>
      <c r="D548" s="96" t="s">
        <v>164</v>
      </c>
      <c r="E548" s="60">
        <v>0.7</v>
      </c>
      <c r="G548" s="75">
        <f t="shared" si="73"/>
        <v>0.7</v>
      </c>
      <c r="I548" s="7" t="s">
        <v>22</v>
      </c>
      <c r="K548" s="56">
        <f t="shared" si="74"/>
        <v>0.2</v>
      </c>
      <c r="M548" s="13">
        <v>8</v>
      </c>
      <c r="O548" s="13">
        <v>8</v>
      </c>
      <c r="Q548" s="13">
        <v>8</v>
      </c>
      <c r="S548" s="13">
        <v>8</v>
      </c>
      <c r="U548" s="13">
        <v>8</v>
      </c>
      <c r="W548" s="9">
        <f t="shared" si="75"/>
        <v>8</v>
      </c>
      <c r="Y548" s="9">
        <f t="shared" si="76"/>
        <v>1.1200000000000001</v>
      </c>
    </row>
    <row r="549" spans="3:25">
      <c r="U549" s="11" t="s">
        <v>23</v>
      </c>
      <c r="Y549" s="9">
        <f>SUM(Y540:Y548)</f>
        <v>74.765800000000013</v>
      </c>
    </row>
    <row r="550" spans="3:25">
      <c r="C550" s="8" t="s">
        <v>163</v>
      </c>
      <c r="U550" s="11" t="s">
        <v>24</v>
      </c>
      <c r="Y550" s="27">
        <v>7.7</v>
      </c>
    </row>
    <row r="551" spans="3:25">
      <c r="U551" s="11" t="s">
        <v>25</v>
      </c>
      <c r="Y551" s="27"/>
    </row>
    <row r="552" spans="3:25">
      <c r="U552" s="11" t="s">
        <v>26</v>
      </c>
      <c r="Y552" s="9">
        <f>Y549-Y550-Y551</f>
        <v>67.06580000000001</v>
      </c>
    </row>
    <row r="553" spans="3:25" ht="15">
      <c r="D553" s="12" t="s">
        <v>27</v>
      </c>
      <c r="U553" s="11"/>
    </row>
    <row r="554" spans="3:25">
      <c r="D554" s="2" t="s">
        <v>28</v>
      </c>
      <c r="K554" s="62">
        <f>$H$8</f>
        <v>1.5</v>
      </c>
      <c r="M554" s="13">
        <v>8.25</v>
      </c>
      <c r="O554" s="13">
        <v>7.25</v>
      </c>
      <c r="Q554" s="13">
        <v>7.75</v>
      </c>
      <c r="S554" s="13">
        <v>7.25</v>
      </c>
      <c r="U554" s="13">
        <v>7.75</v>
      </c>
      <c r="Y554" s="9">
        <f>ROUND((SUM(M554:U554)-MAX(M554:U554)-MIN(M554:U554))*K554,4)</f>
        <v>34.125</v>
      </c>
    </row>
    <row r="555" spans="3:25">
      <c r="D555" s="2" t="s">
        <v>29</v>
      </c>
      <c r="K555" s="62">
        <f>$K$8</f>
        <v>1.3</v>
      </c>
      <c r="M555" s="13">
        <v>7.5</v>
      </c>
      <c r="O555" s="13">
        <v>7.5</v>
      </c>
      <c r="Q555" s="13">
        <v>7.5</v>
      </c>
      <c r="S555" s="13">
        <v>6.75</v>
      </c>
      <c r="U555" s="13">
        <v>7.75</v>
      </c>
      <c r="Y555" s="9">
        <f>ROUND((SUM(M555:U555)-MAX(M555:U555)-MIN(M555:U555))*K555,4)</f>
        <v>29.25</v>
      </c>
    </row>
    <row r="556" spans="3:25">
      <c r="D556" s="2" t="s">
        <v>30</v>
      </c>
      <c r="K556" s="62">
        <f>$N$8</f>
        <v>1.5</v>
      </c>
      <c r="M556" s="13">
        <v>7.75</v>
      </c>
      <c r="O556" s="13">
        <v>7.75</v>
      </c>
      <c r="Q556" s="13">
        <v>7.5</v>
      </c>
      <c r="S556" s="13">
        <v>7</v>
      </c>
      <c r="U556" s="13">
        <v>7.75</v>
      </c>
      <c r="Y556" s="9">
        <f>ROUND((SUM(M556:U556)-MAX(M556:U556)-MIN(M556:U556))*K556,4)</f>
        <v>34.5</v>
      </c>
    </row>
    <row r="557" spans="3:25">
      <c r="U557" s="11" t="s">
        <v>31</v>
      </c>
      <c r="Y557" s="9">
        <f>SUM(Y554:Y556)</f>
        <v>97.875</v>
      </c>
    </row>
    <row r="558" spans="3:25">
      <c r="U558" s="11" t="s">
        <v>32</v>
      </c>
      <c r="Y558" s="27"/>
    </row>
    <row r="559" spans="3:25">
      <c r="U559" s="11" t="s">
        <v>33</v>
      </c>
      <c r="Y559" s="9">
        <f>Y557-Y558</f>
        <v>97.875</v>
      </c>
    </row>
    <row r="561" spans="1:39">
      <c r="C561" s="3" t="s">
        <v>4</v>
      </c>
      <c r="D561" s="40">
        <v>20</v>
      </c>
      <c r="E561" s="58"/>
    </row>
    <row r="562" spans="1:39">
      <c r="C562" s="3" t="s">
        <v>5</v>
      </c>
      <c r="D562" s="40"/>
      <c r="E562" s="58"/>
    </row>
    <row r="563" spans="1:39">
      <c r="C563" s="3" t="s">
        <v>6</v>
      </c>
      <c r="D563" s="40"/>
      <c r="E563" s="58"/>
    </row>
    <row r="564" spans="1:39">
      <c r="C564" s="3" t="s">
        <v>7</v>
      </c>
      <c r="D564" s="40"/>
      <c r="E564" s="58"/>
      <c r="AB564" s="42" t="s">
        <v>104</v>
      </c>
      <c r="AE564" s="2" t="s">
        <v>47</v>
      </c>
    </row>
    <row r="565" spans="1:39" ht="6.75" customHeight="1">
      <c r="C565" s="4"/>
      <c r="D565" s="40"/>
      <c r="E565" s="58"/>
      <c r="AB565" s="42"/>
    </row>
    <row r="566" spans="1:39" ht="15">
      <c r="A566" s="2" t="s">
        <v>20</v>
      </c>
      <c r="B566" s="14" t="s">
        <v>34</v>
      </c>
      <c r="C566" s="3" t="s">
        <v>8</v>
      </c>
      <c r="D566" s="2" t="s">
        <v>1</v>
      </c>
      <c r="E566" s="57">
        <f>SUM(E569:E577)</f>
        <v>0</v>
      </c>
      <c r="M566" s="6" t="s">
        <v>12</v>
      </c>
      <c r="O566" s="6" t="s">
        <v>13</v>
      </c>
      <c r="Q566" s="6" t="s">
        <v>14</v>
      </c>
      <c r="S566" s="6" t="s">
        <v>15</v>
      </c>
      <c r="U566" s="6" t="s">
        <v>16</v>
      </c>
      <c r="W566" s="9" t="s">
        <v>17</v>
      </c>
      <c r="Y566" s="9" t="s">
        <v>18</v>
      </c>
      <c r="AB566" s="42" t="s">
        <v>105</v>
      </c>
      <c r="AC566" s="2" t="s">
        <v>19</v>
      </c>
      <c r="AE566" s="3" t="s">
        <v>4</v>
      </c>
      <c r="AF566" s="3" t="s">
        <v>5</v>
      </c>
      <c r="AG566" s="3" t="s">
        <v>6</v>
      </c>
      <c r="AH566" s="3" t="s">
        <v>7</v>
      </c>
      <c r="AI566" s="5" t="s">
        <v>2</v>
      </c>
      <c r="AJ566" s="12" t="s">
        <v>27</v>
      </c>
      <c r="AK566" s="12" t="s">
        <v>109</v>
      </c>
      <c r="AL566" s="2" t="s">
        <v>105</v>
      </c>
      <c r="AM566" s="2" t="s">
        <v>19</v>
      </c>
    </row>
    <row r="567" spans="1:39" ht="6.75" customHeight="1">
      <c r="C567" s="4"/>
      <c r="D567" s="40"/>
      <c r="E567" s="58"/>
    </row>
    <row r="568" spans="1:39" ht="15">
      <c r="D568" s="41" t="s">
        <v>107</v>
      </c>
      <c r="E568" s="59" t="s">
        <v>9</v>
      </c>
      <c r="G568" s="2" t="s">
        <v>21</v>
      </c>
      <c r="I568" s="2" t="s">
        <v>10</v>
      </c>
      <c r="K568" s="2" t="s">
        <v>11</v>
      </c>
    </row>
    <row r="569" spans="1:39">
      <c r="A569" s="2">
        <f>RANK(AC569,$AC$18:$AC$600,0)</f>
        <v>20</v>
      </c>
      <c r="B569" s="10">
        <v>20</v>
      </c>
      <c r="C569" s="4">
        <v>1</v>
      </c>
      <c r="D569" s="96"/>
      <c r="E569" s="60"/>
      <c r="G569" s="75">
        <f>_xlfn.IFS(I569="　",E569,IF(COUNTIF(D569,"*Acro-Pair*")&gt;=1,AND(I569="*")),"0.100",I569="*",0.5,I569="**",0)</f>
        <v>0</v>
      </c>
      <c r="I569" s="7" t="s">
        <v>22</v>
      </c>
      <c r="K569" s="56" t="str">
        <f>IF(D569="","",IF(COUNTIF(D569,"*HYB*")&gt;=1,$D$8,IF(AND(COUNTIF(D569,"*Acro*")&gt;=1),$E$8,IF(AND(COUNTIF(D569,"*TRE*")&gt;=1),$G$8))))</f>
        <v/>
      </c>
      <c r="M569" s="13">
        <v>9</v>
      </c>
      <c r="O569" s="13">
        <v>9.5</v>
      </c>
      <c r="Q569" s="13">
        <v>9</v>
      </c>
      <c r="S569" s="13">
        <v>8</v>
      </c>
      <c r="U569" s="13">
        <v>7.5</v>
      </c>
      <c r="W569" s="9">
        <f>(SUM(M569:U569)-MAX(M569:U569)-MIN(M569:U569))/3</f>
        <v>8.6666666666666661</v>
      </c>
      <c r="Y569" s="9" t="str">
        <f>IF(D569="","",ROUND(W569*G569*K569,4))</f>
        <v/>
      </c>
      <c r="AB569" s="55">
        <v>1.5</v>
      </c>
      <c r="AC569" s="64">
        <f>Y581+Y588-AB569-AB570</f>
        <v>88.674999999999997</v>
      </c>
      <c r="AE569" s="37">
        <f>D561</f>
        <v>20</v>
      </c>
      <c r="AF569" s="37">
        <f>D562</f>
        <v>0</v>
      </c>
      <c r="AG569" s="37">
        <f>D563</f>
        <v>0</v>
      </c>
      <c r="AH569" s="37">
        <f>D564</f>
        <v>0</v>
      </c>
      <c r="AI569" s="66">
        <f>Y581</f>
        <v>-7.7</v>
      </c>
      <c r="AJ569" s="39">
        <f>Y588</f>
        <v>97.875</v>
      </c>
      <c r="AK569" s="65">
        <f>AB569</f>
        <v>1.5</v>
      </c>
      <c r="AL569" s="65">
        <f>AB570</f>
        <v>0</v>
      </c>
      <c r="AM569" s="64">
        <f>AC569</f>
        <v>88.674999999999997</v>
      </c>
    </row>
    <row r="570" spans="1:39">
      <c r="C570" s="4">
        <v>2</v>
      </c>
      <c r="D570" s="96"/>
      <c r="E570" s="60"/>
      <c r="G570" s="75">
        <f t="shared" ref="G570:G577" si="77">_xlfn.IFS(I570="　",E570,IF(COUNTIF(D570,"*Acro-Pair*")&gt;=1,AND(I570="*")),"0.100",I570="*",0.5,I570="**",0)</f>
        <v>0</v>
      </c>
      <c r="I570" s="7" t="s">
        <v>22</v>
      </c>
      <c r="K570" s="56" t="str">
        <f t="shared" ref="K570:K577" si="78">IF(D570="","",IF(COUNTIF(D570,"*HYB*")&gt;=1,$D$8,IF(AND(COUNTIF(D570,"*Acro*")&gt;=1),$E$8,IF(AND(COUNTIF(D570,"*TRE*")&gt;=1),$G$8))))</f>
        <v/>
      </c>
      <c r="M570" s="13">
        <v>7.25</v>
      </c>
      <c r="O570" s="13">
        <v>6.25</v>
      </c>
      <c r="Q570" s="13">
        <v>6.5</v>
      </c>
      <c r="S570" s="13">
        <v>7.25</v>
      </c>
      <c r="U570" s="13">
        <v>7</v>
      </c>
      <c r="W570" s="9">
        <f t="shared" ref="W570:W577" si="79">(SUM(M570:U570)-MAX(M570:U570)-MIN(M570:U570))/3</f>
        <v>6.916666666666667</v>
      </c>
      <c r="Y570" s="9" t="str">
        <f t="shared" ref="Y570:Y577" si="80">IF(D570="","",ROUND(W570*G570*K570,4))</f>
        <v/>
      </c>
      <c r="AB570" s="55"/>
    </row>
    <row r="571" spans="1:39">
      <c r="C571" s="4">
        <v>3</v>
      </c>
      <c r="D571" s="96"/>
      <c r="E571" s="60"/>
      <c r="G571" s="75">
        <f t="shared" si="77"/>
        <v>0</v>
      </c>
      <c r="I571" s="7" t="s">
        <v>22</v>
      </c>
      <c r="K571" s="56" t="str">
        <f t="shared" si="78"/>
        <v/>
      </c>
      <c r="M571" s="13">
        <v>8</v>
      </c>
      <c r="O571" s="13">
        <v>7</v>
      </c>
      <c r="Q571" s="13">
        <v>8</v>
      </c>
      <c r="S571" s="13">
        <v>7</v>
      </c>
      <c r="U571" s="13">
        <v>8</v>
      </c>
      <c r="W571" s="9">
        <f t="shared" si="79"/>
        <v>7.666666666666667</v>
      </c>
      <c r="Y571" s="9" t="str">
        <f t="shared" si="80"/>
        <v/>
      </c>
    </row>
    <row r="572" spans="1:39">
      <c r="C572" s="4">
        <v>4</v>
      </c>
      <c r="D572" s="96"/>
      <c r="E572" s="60"/>
      <c r="G572" s="75">
        <f t="shared" si="77"/>
        <v>0</v>
      </c>
      <c r="I572" s="7" t="s">
        <v>22</v>
      </c>
      <c r="K572" s="56" t="str">
        <f t="shared" si="78"/>
        <v/>
      </c>
      <c r="M572" s="13">
        <v>6.75</v>
      </c>
      <c r="O572" s="13">
        <v>6</v>
      </c>
      <c r="Q572" s="13">
        <v>6.25</v>
      </c>
      <c r="S572" s="13">
        <v>7.25</v>
      </c>
      <c r="U572" s="13">
        <v>7</v>
      </c>
      <c r="W572" s="9">
        <f t="shared" si="79"/>
        <v>6.666666666666667</v>
      </c>
      <c r="Y572" s="9" t="str">
        <f t="shared" si="80"/>
        <v/>
      </c>
    </row>
    <row r="573" spans="1:39">
      <c r="C573" s="4">
        <v>5</v>
      </c>
      <c r="D573" s="96"/>
      <c r="E573" s="60"/>
      <c r="G573" s="75">
        <f t="shared" si="77"/>
        <v>0</v>
      </c>
      <c r="I573" s="7" t="s">
        <v>22</v>
      </c>
      <c r="K573" s="56" t="str">
        <f t="shared" si="78"/>
        <v/>
      </c>
      <c r="M573" s="13">
        <v>8.5</v>
      </c>
      <c r="O573" s="13">
        <v>6.5</v>
      </c>
      <c r="Q573" s="13">
        <v>7.75</v>
      </c>
      <c r="S573" s="13">
        <v>6.5</v>
      </c>
      <c r="U573" s="13">
        <v>6.25</v>
      </c>
      <c r="W573" s="9">
        <f t="shared" si="79"/>
        <v>6.916666666666667</v>
      </c>
      <c r="Y573" s="9" t="str">
        <f t="shared" si="80"/>
        <v/>
      </c>
    </row>
    <row r="574" spans="1:39">
      <c r="C574" s="4">
        <v>6</v>
      </c>
      <c r="D574" s="96"/>
      <c r="E574" s="60"/>
      <c r="G574" s="75">
        <f t="shared" si="77"/>
        <v>0</v>
      </c>
      <c r="I574" s="7" t="s">
        <v>22</v>
      </c>
      <c r="K574" s="56" t="str">
        <f t="shared" si="78"/>
        <v/>
      </c>
      <c r="M574" s="13">
        <v>6.75</v>
      </c>
      <c r="O574" s="13">
        <v>6</v>
      </c>
      <c r="Q574" s="13">
        <v>6.75</v>
      </c>
      <c r="S574" s="13">
        <v>7</v>
      </c>
      <c r="U574" s="13">
        <v>6.75</v>
      </c>
      <c r="W574" s="9">
        <f t="shared" si="79"/>
        <v>6.75</v>
      </c>
      <c r="Y574" s="9" t="str">
        <f t="shared" si="80"/>
        <v/>
      </c>
    </row>
    <row r="575" spans="1:39">
      <c r="C575" s="4">
        <v>7</v>
      </c>
      <c r="D575" s="96"/>
      <c r="E575" s="60"/>
      <c r="G575" s="75">
        <f t="shared" si="77"/>
        <v>0</v>
      </c>
      <c r="I575" s="7" t="s">
        <v>22</v>
      </c>
      <c r="K575" s="56" t="str">
        <f t="shared" si="78"/>
        <v/>
      </c>
      <c r="M575" s="13">
        <v>7</v>
      </c>
      <c r="O575" s="13">
        <v>6.5</v>
      </c>
      <c r="Q575" s="13">
        <v>6.75</v>
      </c>
      <c r="S575" s="13">
        <v>7</v>
      </c>
      <c r="U575" s="13">
        <v>6.75</v>
      </c>
      <c r="W575" s="9">
        <f t="shared" si="79"/>
        <v>6.833333333333333</v>
      </c>
      <c r="Y575" s="9" t="str">
        <f t="shared" si="80"/>
        <v/>
      </c>
    </row>
    <row r="576" spans="1:39">
      <c r="C576" s="4">
        <v>8</v>
      </c>
      <c r="D576" s="96"/>
      <c r="E576" s="60"/>
      <c r="G576" s="75">
        <f t="shared" si="77"/>
        <v>0</v>
      </c>
      <c r="I576" s="7" t="s">
        <v>22</v>
      </c>
      <c r="K576" s="56" t="str">
        <f t="shared" si="78"/>
        <v/>
      </c>
      <c r="M576" s="13">
        <v>7</v>
      </c>
      <c r="O576" s="13">
        <v>6</v>
      </c>
      <c r="Q576" s="13">
        <v>6.25</v>
      </c>
      <c r="S576" s="13">
        <v>6.75</v>
      </c>
      <c r="U576" s="13">
        <v>6.5</v>
      </c>
      <c r="W576" s="9">
        <f t="shared" si="79"/>
        <v>6.5</v>
      </c>
      <c r="Y576" s="9" t="str">
        <f t="shared" si="80"/>
        <v/>
      </c>
    </row>
    <row r="577" spans="3:25">
      <c r="C577" s="4">
        <v>9</v>
      </c>
      <c r="D577" s="96"/>
      <c r="E577" s="60"/>
      <c r="G577" s="75">
        <f t="shared" si="77"/>
        <v>0</v>
      </c>
      <c r="I577" s="7" t="s">
        <v>22</v>
      </c>
      <c r="K577" s="56" t="str">
        <f t="shared" si="78"/>
        <v/>
      </c>
      <c r="M577" s="13">
        <v>6.75</v>
      </c>
      <c r="O577" s="13">
        <v>6</v>
      </c>
      <c r="Q577" s="13">
        <v>6</v>
      </c>
      <c r="S577" s="13">
        <v>6.75</v>
      </c>
      <c r="U577" s="13">
        <v>6.5</v>
      </c>
      <c r="W577" s="9">
        <f t="shared" si="79"/>
        <v>6.416666666666667</v>
      </c>
      <c r="Y577" s="9" t="str">
        <f t="shared" si="80"/>
        <v/>
      </c>
    </row>
    <row r="578" spans="3:25">
      <c r="U578" s="11" t="s">
        <v>23</v>
      </c>
      <c r="Y578" s="9">
        <f>SUM(Y569:Y577)</f>
        <v>0</v>
      </c>
    </row>
    <row r="579" spans="3:25">
      <c r="C579" s="8" t="s">
        <v>163</v>
      </c>
      <c r="U579" s="11" t="s">
        <v>24</v>
      </c>
      <c r="Y579" s="27">
        <v>7.7</v>
      </c>
    </row>
    <row r="580" spans="3:25">
      <c r="U580" s="11" t="s">
        <v>25</v>
      </c>
      <c r="Y580" s="27"/>
    </row>
    <row r="581" spans="3:25">
      <c r="U581" s="11" t="s">
        <v>26</v>
      </c>
      <c r="Y581" s="9">
        <f>Y578-Y579-Y580</f>
        <v>-7.7</v>
      </c>
    </row>
    <row r="582" spans="3:25" ht="15">
      <c r="D582" s="12" t="s">
        <v>27</v>
      </c>
      <c r="U582" s="11"/>
    </row>
    <row r="583" spans="3:25">
      <c r="D583" s="2" t="s">
        <v>28</v>
      </c>
      <c r="K583" s="62">
        <f>$H$8</f>
        <v>1.5</v>
      </c>
      <c r="M583" s="13">
        <v>8.25</v>
      </c>
      <c r="O583" s="13">
        <v>7.25</v>
      </c>
      <c r="Q583" s="13">
        <v>7.75</v>
      </c>
      <c r="S583" s="13">
        <v>7.25</v>
      </c>
      <c r="U583" s="13">
        <v>7.75</v>
      </c>
      <c r="Y583" s="9">
        <f>ROUND((SUM(M583:U583)-MAX(M583:U583)-MIN(M583:U583))*K583,4)</f>
        <v>34.125</v>
      </c>
    </row>
    <row r="584" spans="3:25">
      <c r="D584" s="2" t="s">
        <v>29</v>
      </c>
      <c r="K584" s="62">
        <f>$K$8</f>
        <v>1.3</v>
      </c>
      <c r="M584" s="13">
        <v>7.5</v>
      </c>
      <c r="O584" s="13">
        <v>7.5</v>
      </c>
      <c r="Q584" s="13">
        <v>7.5</v>
      </c>
      <c r="S584" s="13">
        <v>6.75</v>
      </c>
      <c r="U584" s="13">
        <v>7.75</v>
      </c>
      <c r="Y584" s="9">
        <f>ROUND((SUM(M584:U584)-MAX(M584:U584)-MIN(M584:U584))*K584,4)</f>
        <v>29.25</v>
      </c>
    </row>
    <row r="585" spans="3:25">
      <c r="D585" s="2" t="s">
        <v>30</v>
      </c>
      <c r="K585" s="62">
        <f>$N$8</f>
        <v>1.5</v>
      </c>
      <c r="M585" s="13">
        <v>7.75</v>
      </c>
      <c r="O585" s="13">
        <v>7.75</v>
      </c>
      <c r="Q585" s="13">
        <v>7.5</v>
      </c>
      <c r="S585" s="13">
        <v>7</v>
      </c>
      <c r="U585" s="13">
        <v>7.75</v>
      </c>
      <c r="Y585" s="9">
        <f>ROUND((SUM(M585:U585)-MAX(M585:U585)-MIN(M585:U585))*K585,4)</f>
        <v>34.5</v>
      </c>
    </row>
    <row r="586" spans="3:25">
      <c r="U586" s="11" t="s">
        <v>31</v>
      </c>
      <c r="Y586" s="9">
        <f>SUM(Y583:Y585)</f>
        <v>97.875</v>
      </c>
    </row>
    <row r="587" spans="3:25">
      <c r="U587" s="11" t="s">
        <v>32</v>
      </c>
      <c r="Y587" s="27"/>
    </row>
    <row r="588" spans="3:25">
      <c r="U588" s="11" t="s">
        <v>33</v>
      </c>
      <c r="Y588" s="9">
        <f>Y586-Y587</f>
        <v>97.875</v>
      </c>
    </row>
  </sheetData>
  <mergeCells count="16">
    <mergeCell ref="A8:C8"/>
    <mergeCell ref="D3:G3"/>
    <mergeCell ref="D1:I1"/>
    <mergeCell ref="N1:S1"/>
    <mergeCell ref="V1:Y1"/>
    <mergeCell ref="E8:F8"/>
    <mergeCell ref="H8:J8"/>
    <mergeCell ref="K8:M8"/>
    <mergeCell ref="N8:O8"/>
    <mergeCell ref="D4:G4"/>
    <mergeCell ref="E7:F7"/>
    <mergeCell ref="N7:O7"/>
    <mergeCell ref="D6:G6"/>
    <mergeCell ref="K7:M7"/>
    <mergeCell ref="H7:J7"/>
    <mergeCell ref="H6:O6"/>
  </mergeCells>
  <phoneticPr fontId="1"/>
  <dataValidations count="1">
    <dataValidation type="list" allowBlank="1" showInputMessage="1" showErrorMessage="1" sqref="I540:I548 I18:I26 I47:I55 I76:I84 I105:I113 I134:I142 I163:I171 I192:I200 I221:I229 I250:I258 I279:I287 I308:I316 I337:I345 I366:I374 I395:I403 I424:I432 I453:I461 I482:I490 I511:I519 I569:I577" xr:uid="{CC94CFDB-76EC-4F50-A925-5652029265F4}">
      <formula1>"　,*,**"</formula1>
    </dataValidation>
  </dataValidations>
  <printOptions horizontalCentered="1"/>
  <pageMargins left="0.19685039370078741" right="0.19685039370078741" top="0.55118110236220474" bottom="0.35433070866141736" header="0" footer="0"/>
  <pageSetup paperSize="9" scale="43" fitToHeight="0" orientation="portrait" horizontalDpi="4294967293" verticalDpi="0" r:id="rId1"/>
  <headerFooter alignWithMargins="0"/>
  <rowBreaks count="5" manualBreakCount="5">
    <brk id="95" max="28" man="1"/>
    <brk id="211" max="28" man="1"/>
    <brk id="327" max="28" man="1"/>
    <brk id="443" max="28" man="1"/>
    <brk id="559" max="28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F13E21-6ECC-40A8-9FFD-A2E06AB7B5B8}">
          <x14:formula1>
            <xm:f>リスト!$B$2:$B$14</xm:f>
          </x14:formula1>
          <xm:sqref>D4:G5</xm:sqref>
        </x14:dataValidation>
        <x14:dataValidation type="list" allowBlank="1" showInputMessage="1" showErrorMessage="1" xr:uid="{69759392-EE7E-4CD7-925C-72FB6607057B}">
          <x14:formula1>
            <xm:f>リスト!$B$16:$B$20</xm:f>
          </x14:formula1>
          <xm:sqref>D3:G3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092-CABD-4E27-AA7B-EE72094D950C}">
  <sheetPr>
    <tabColor rgb="FFFFC000"/>
    <pageSetUpPr fitToPage="1"/>
  </sheetPr>
  <dimension ref="A1:O57"/>
  <sheetViews>
    <sheetView workbookViewId="0"/>
  </sheetViews>
  <sheetFormatPr defaultColWidth="9" defaultRowHeight="18.75"/>
  <cols>
    <col min="2" max="2" width="3" customWidth="1"/>
    <col min="3" max="3" width="29.75" customWidth="1"/>
    <col min="4" max="4" width="21.75" customWidth="1"/>
    <col min="5" max="5" width="2.25" bestFit="1" customWidth="1"/>
    <col min="6" max="6" width="10.25" customWidth="1"/>
    <col min="7" max="7" width="2.25" bestFit="1" customWidth="1"/>
    <col min="8" max="8" width="10.25" customWidth="1"/>
    <col min="9" max="9" width="2" customWidth="1"/>
    <col min="10" max="10" width="2.25" bestFit="1" customWidth="1"/>
    <col min="11" max="11" width="10.25" customWidth="1"/>
    <col min="12" max="12" width="2" customWidth="1"/>
    <col min="13" max="13" width="10.25" customWidth="1"/>
    <col min="14" max="14" width="2" customWidth="1"/>
    <col min="15" max="15" width="10.25" customWidth="1"/>
  </cols>
  <sheetData>
    <row r="1" spans="1:15" s="34" customFormat="1">
      <c r="A1" s="34" t="s">
        <v>53</v>
      </c>
      <c r="B1" s="206" t="str">
        <f>IF(入力シート!D$1="","",入力シート!D$1)</f>
        <v>●●●</v>
      </c>
      <c r="C1" s="206"/>
    </row>
    <row r="2" spans="1:15" s="34" customFormat="1">
      <c r="A2" s="34" t="s">
        <v>56</v>
      </c>
      <c r="B2" s="206" t="str">
        <f>IF(入力シート!N$1="","",入力シート!N$1)</f>
        <v>■■■</v>
      </c>
      <c r="C2" s="206"/>
    </row>
    <row r="3" spans="1:15" s="34" customFormat="1">
      <c r="A3" s="34" t="s">
        <v>57</v>
      </c>
      <c r="B3" s="206" t="str">
        <f>IF(入力シート!V$1="","",入力シート!V$1)</f>
        <v>20XX年XX月XX日</v>
      </c>
      <c r="C3" s="206"/>
    </row>
    <row r="4" spans="1:15" s="34" customFormat="1" ht="18.75" customHeight="1">
      <c r="A4" s="35" t="s">
        <v>55</v>
      </c>
    </row>
    <row r="5" spans="1:15" s="34" customFormat="1" ht="18.75" customHeight="1">
      <c r="A5" s="34" t="s">
        <v>54</v>
      </c>
      <c r="B5" s="206" t="str">
        <f>IF(入力シート!D$4="種目を選択","",入力シート!D$4)</f>
        <v>チーム　テクニカル</v>
      </c>
      <c r="C5" s="206"/>
      <c r="F5" s="34" t="s">
        <v>102</v>
      </c>
      <c r="G5" s="206" t="str">
        <f>IF(入力シート!D$3="年齢区分を選択","",入力シート!D$3)</f>
        <v>Sr（シニア）</v>
      </c>
      <c r="H5" s="206"/>
      <c r="I5" s="54"/>
    </row>
    <row r="6" spans="1:15" s="34" customFormat="1" ht="10.5" customHeight="1">
      <c r="B6" s="53"/>
      <c r="C6" s="53"/>
    </row>
    <row r="7" spans="1:15" s="34" customFormat="1" ht="18.75" customHeight="1">
      <c r="A7" s="34" t="s">
        <v>58</v>
      </c>
    </row>
    <row r="8" spans="1:15" s="34" customFormat="1" ht="18.75" customHeight="1">
      <c r="B8" s="34" t="s">
        <v>59</v>
      </c>
      <c r="C8" s="32"/>
      <c r="D8" s="32"/>
      <c r="E8" s="32"/>
      <c r="F8" s="34" t="s">
        <v>60</v>
      </c>
      <c r="K8" s="32" t="s">
        <v>61</v>
      </c>
      <c r="L8" s="32"/>
      <c r="O8" s="32"/>
    </row>
    <row r="9" spans="1:15" s="34" customFormat="1" ht="18.75" customHeight="1">
      <c r="A9" s="31">
        <v>1</v>
      </c>
      <c r="B9" s="31"/>
      <c r="C9" s="76"/>
      <c r="D9" s="32"/>
      <c r="E9" s="33">
        <v>1</v>
      </c>
      <c r="F9" s="207"/>
      <c r="G9" s="207"/>
      <c r="H9" s="207"/>
      <c r="I9" s="63"/>
      <c r="J9" s="31">
        <v>1</v>
      </c>
      <c r="K9" s="210" t="s">
        <v>65</v>
      </c>
      <c r="L9" s="211"/>
      <c r="M9" s="211"/>
      <c r="N9" s="211"/>
      <c r="O9" s="212"/>
    </row>
    <row r="10" spans="1:15" s="34" customFormat="1">
      <c r="A10" s="31">
        <v>2</v>
      </c>
      <c r="B10" s="31"/>
      <c r="C10" s="76"/>
      <c r="D10" s="32"/>
      <c r="E10" s="33">
        <v>2</v>
      </c>
      <c r="F10" s="207"/>
      <c r="G10" s="207"/>
      <c r="H10" s="207"/>
      <c r="I10" s="63"/>
      <c r="J10" s="31">
        <v>2</v>
      </c>
      <c r="K10" s="210" t="s">
        <v>65</v>
      </c>
      <c r="L10" s="211"/>
      <c r="M10" s="211"/>
      <c r="N10" s="211"/>
      <c r="O10" s="212"/>
    </row>
    <row r="11" spans="1:15" s="34" customFormat="1">
      <c r="A11" s="31">
        <v>3</v>
      </c>
      <c r="B11" s="31"/>
      <c r="C11" s="76"/>
      <c r="D11" s="32"/>
      <c r="E11" s="33">
        <v>3</v>
      </c>
      <c r="F11" s="207"/>
      <c r="G11" s="207"/>
      <c r="H11" s="207"/>
      <c r="I11" s="63"/>
      <c r="J11" s="31">
        <v>3</v>
      </c>
      <c r="K11" s="210" t="s">
        <v>65</v>
      </c>
      <c r="L11" s="211"/>
      <c r="M11" s="211"/>
      <c r="N11" s="211"/>
      <c r="O11" s="212"/>
    </row>
    <row r="12" spans="1:15" s="34" customFormat="1">
      <c r="A12" s="31">
        <v>4</v>
      </c>
      <c r="B12" s="31"/>
      <c r="C12" s="76"/>
      <c r="D12" s="32"/>
      <c r="E12" s="33">
        <v>4</v>
      </c>
      <c r="F12" s="207"/>
      <c r="G12" s="207"/>
      <c r="H12" s="207"/>
      <c r="I12" s="63"/>
      <c r="J12" s="32"/>
      <c r="K12" s="208"/>
      <c r="L12" s="208"/>
      <c r="M12" s="208"/>
      <c r="N12" s="208"/>
    </row>
    <row r="13" spans="1:15" s="34" customFormat="1">
      <c r="A13" s="31">
        <v>5</v>
      </c>
      <c r="B13" s="31"/>
      <c r="C13" s="76"/>
      <c r="D13" s="32"/>
      <c r="E13" s="33">
        <v>5</v>
      </c>
      <c r="F13" s="207"/>
      <c r="G13" s="207"/>
      <c r="H13" s="207"/>
      <c r="I13" s="63"/>
      <c r="J13" s="32"/>
      <c r="K13" s="208"/>
      <c r="L13" s="208"/>
      <c r="M13" s="208"/>
      <c r="N13" s="208"/>
    </row>
    <row r="14" spans="1:15" ht="9.6" customHeight="1">
      <c r="A14" s="18"/>
      <c r="B14" s="18"/>
      <c r="C14" s="21"/>
      <c r="D14" s="21"/>
      <c r="E14" s="17"/>
      <c r="F14" s="209"/>
      <c r="G14" s="209"/>
      <c r="H14" s="209"/>
      <c r="I14" s="36"/>
      <c r="J14" s="21"/>
      <c r="K14" s="209"/>
      <c r="L14" s="209"/>
      <c r="M14" s="209"/>
      <c r="N14" s="209"/>
    </row>
    <row r="15" spans="1:15" ht="24">
      <c r="A15" s="22" t="s">
        <v>48</v>
      </c>
      <c r="B15" s="22"/>
      <c r="C15" s="22" t="s">
        <v>49</v>
      </c>
      <c r="D15" s="19" t="s">
        <v>64</v>
      </c>
      <c r="E15" s="22"/>
      <c r="F15" s="22" t="s">
        <v>50</v>
      </c>
      <c r="G15" s="22"/>
      <c r="H15" s="22" t="s">
        <v>51</v>
      </c>
      <c r="I15" s="22"/>
      <c r="J15" s="22"/>
      <c r="K15" s="19" t="s">
        <v>143</v>
      </c>
      <c r="L15" s="19"/>
      <c r="M15" s="22" t="s">
        <v>52</v>
      </c>
    </row>
    <row r="16" spans="1:15" ht="18.75" customHeight="1">
      <c r="A16" s="20">
        <v>1</v>
      </c>
      <c r="B16" s="20"/>
      <c r="C16" s="26" t="str">
        <f>IFERROR(VLOOKUP($A16,入力シート!$A$18:$AM$600,31,0),"")</f>
        <v>柏アーティスティックスイミングクラブ</v>
      </c>
      <c r="D16" s="26" t="str">
        <f>IFERROR(VLOOKUP($A16,入力シート!$A$18:$AM$600,33,0),"")</f>
        <v>内藤ななみ/花藤はるか/松藤まりな/山藤やくみ</v>
      </c>
      <c r="E16" s="23"/>
      <c r="F16" s="25">
        <f>IFERROR(VLOOKUP($A16,入力シート!$A$18:$AM$600,35,0),"")</f>
        <v>68.476699999999994</v>
      </c>
      <c r="G16" s="23"/>
      <c r="H16" s="25">
        <f>IFERROR(VLOOKUP($A16,入力シート!$A$18:$AM$600,36,0),"")</f>
        <v>100.02500000000001</v>
      </c>
      <c r="I16" s="23"/>
      <c r="J16" s="23"/>
      <c r="K16" s="80">
        <f>IFERROR(VLOOKUP($A16,入力シート!$A$18:$AM$600,37,0),"")</f>
        <v>1</v>
      </c>
      <c r="L16" s="25"/>
      <c r="M16" s="25">
        <f>IFERROR(VLOOKUP($A16,入力シート!$A$18:$AM$600,39,0),"")</f>
        <v>167.5017</v>
      </c>
    </row>
    <row r="17" spans="1:13" ht="18.75" customHeight="1">
      <c r="A17" s="18"/>
      <c r="B17" s="18"/>
      <c r="C17" s="26"/>
      <c r="D17" s="26" t="str">
        <f>IFERROR(VLOOKUP($A16,入力シート!$A$18:$AM$600,34,0),"")</f>
        <v>来藤らんらん/若藤わかな</v>
      </c>
      <c r="E17" s="23"/>
      <c r="F17" s="25"/>
      <c r="G17" s="23"/>
      <c r="H17" s="25"/>
      <c r="I17" s="23"/>
      <c r="J17" s="23"/>
      <c r="K17" s="80">
        <f>IFERROR(VLOOKUP($A16,入力シート!$A$18:$AM$600,38,0),"")</f>
        <v>0</v>
      </c>
      <c r="L17" s="25"/>
      <c r="M17" s="25"/>
    </row>
    <row r="18" spans="1:13">
      <c r="A18" s="18">
        <v>2</v>
      </c>
      <c r="B18" s="18"/>
      <c r="C18" s="26" t="str">
        <f>IFERROR(VLOOKUP($A18,入力シート!$A$18:$AM$600,31,0),"")</f>
        <v>下アーティスティックスイミングクラブ</v>
      </c>
      <c r="D18" s="26" t="str">
        <f>IFERROR(VLOOKUP($A18,入力シート!$A$18:$AM$600,33,0),"")</f>
        <v>来らんらん/若わかな/加かみ</v>
      </c>
      <c r="E18" s="23"/>
      <c r="F18" s="25">
        <f>IFERROR(VLOOKUP($A18,入力シート!$A$18:$AM$600,35,0),"")</f>
        <v>67.06580000000001</v>
      </c>
      <c r="G18" s="23"/>
      <c r="H18" s="25">
        <f>IFERROR(VLOOKUP($A18,入力シート!$A$18:$AM$600,36,0),"")</f>
        <v>97.875</v>
      </c>
      <c r="I18" s="23"/>
      <c r="J18" s="23"/>
      <c r="K18" s="80">
        <f>IFERROR(VLOOKUP($A18,入力シート!$A$18:$AM$600,37,0),"")</f>
        <v>1.5</v>
      </c>
      <c r="L18" s="25"/>
      <c r="M18" s="25">
        <f>IFERROR(VLOOKUP($A18,入力シート!$A$18:$AM$600,39,0),"")</f>
        <v>163.44080000000002</v>
      </c>
    </row>
    <row r="19" spans="1:13">
      <c r="A19" s="18"/>
      <c r="B19" s="18"/>
      <c r="C19" s="26"/>
      <c r="D19" s="26">
        <f>IFERROR(VLOOKUP($A18,入力シート!$A$18:$AM$600,34,0),"")</f>
        <v>0</v>
      </c>
      <c r="E19" s="23"/>
      <c r="F19" s="25"/>
      <c r="G19" s="23"/>
      <c r="H19" s="25"/>
      <c r="I19" s="23"/>
      <c r="J19" s="23"/>
      <c r="K19" s="80">
        <f>IFERROR(VLOOKUP($A18,入力シート!$A$18:$AM$600,38,0),"")</f>
        <v>0</v>
      </c>
      <c r="L19" s="25"/>
      <c r="M19" s="25"/>
    </row>
    <row r="20" spans="1:13" ht="18.75" customHeight="1">
      <c r="A20" s="18">
        <v>3</v>
      </c>
      <c r="B20" s="18"/>
      <c r="C20" s="26" t="str">
        <f>IFERROR(VLOOKUP($A20,入力シート!$A$18:$AM$600,31,0),"")</f>
        <v>北アーティスティックスイミングクラブ</v>
      </c>
      <c r="D20" s="26" t="str">
        <f>IFERROR(VLOOKUP($A20,入力シート!$A$18:$AM$600,33,0),"")</f>
        <v>高みこ/内なみ/花るか/松りな</v>
      </c>
      <c r="E20" s="23"/>
      <c r="F20" s="25">
        <f>IFERROR(VLOOKUP($A20,入力シート!$A$18:$AM$600,35,0),"")</f>
        <v>67.013300000000015</v>
      </c>
      <c r="G20" s="23"/>
      <c r="H20" s="25">
        <f>IFERROR(VLOOKUP($A20,入力シート!$A$18:$AM$600,36,0),"")</f>
        <v>97.875</v>
      </c>
      <c r="I20" s="23"/>
      <c r="J20" s="23"/>
      <c r="K20" s="80">
        <f>IFERROR(VLOOKUP($A20,入力シート!$A$18:$AM$600,37,0),"")</f>
        <v>1.5</v>
      </c>
      <c r="L20" s="25"/>
      <c r="M20" s="25">
        <f>IFERROR(VLOOKUP($A20,入力シート!$A$18:$AM$600,39,0),"")</f>
        <v>163.38830000000002</v>
      </c>
    </row>
    <row r="21" spans="1:13" ht="18.75" customHeight="1">
      <c r="A21" s="18"/>
      <c r="B21" s="18"/>
      <c r="C21" s="26"/>
      <c r="D21" s="26">
        <f>IFERROR(VLOOKUP($A20,入力シート!$A$18:$AM$600,34,0),"")</f>
        <v>0</v>
      </c>
      <c r="E21" s="23"/>
      <c r="F21" s="25"/>
      <c r="G21" s="23"/>
      <c r="H21" s="25"/>
      <c r="I21" s="23"/>
      <c r="J21" s="23"/>
      <c r="K21" s="80">
        <f>IFERROR(VLOOKUP($A20,入力シート!$A$18:$AM$600,38,0),"")</f>
        <v>0</v>
      </c>
      <c r="L21" s="25"/>
      <c r="M21" s="25"/>
    </row>
    <row r="22" spans="1:13" ht="18.75" customHeight="1">
      <c r="A22" s="18">
        <v>4</v>
      </c>
      <c r="B22" s="18"/>
      <c r="C22" s="26" t="str">
        <f>IFERROR(VLOOKUP($A22,入力シート!$A$18:$AM$600,31,0),"")</f>
        <v>上アーティスティックスイミングクラブ</v>
      </c>
      <c r="D22" s="26" t="str">
        <f>IFERROR(VLOOKUP($A22,入力シート!$A$18:$AM$600,33,0),"")</f>
        <v>佐藤たみこ/内藤はるか/松藤やくみ</v>
      </c>
      <c r="E22" s="23"/>
      <c r="F22" s="25">
        <f>IFERROR(VLOOKUP($A22,入力シート!$A$18:$AM$600,35,0),"")</f>
        <v>66.844100000000012</v>
      </c>
      <c r="G22" s="23"/>
      <c r="H22" s="25">
        <f>IFERROR(VLOOKUP($A22,入力シート!$A$18:$AM$600,36,0),"")</f>
        <v>97.875</v>
      </c>
      <c r="I22" s="23"/>
      <c r="J22" s="23"/>
      <c r="K22" s="80">
        <f>IFERROR(VLOOKUP($A22,入力シート!$A$18:$AM$600,37,0),"")</f>
        <v>1.5</v>
      </c>
      <c r="L22" s="25"/>
      <c r="M22" s="25">
        <f>IFERROR(VLOOKUP($A22,入力シート!$A$18:$AM$600,39,0),"")</f>
        <v>163.21910000000003</v>
      </c>
    </row>
    <row r="23" spans="1:13" ht="18.75" customHeight="1">
      <c r="A23" s="18"/>
      <c r="B23" s="18"/>
      <c r="C23" s="26"/>
      <c r="D23" s="26" t="str">
        <f>IFERROR(VLOOKUP($A22,入力シート!$A$18:$AM$600,34,0),"")</f>
        <v>わかな</v>
      </c>
      <c r="E23" s="23"/>
      <c r="F23" s="25"/>
      <c r="G23" s="23"/>
      <c r="H23" s="25"/>
      <c r="I23" s="23"/>
      <c r="J23" s="23"/>
      <c r="K23" s="80">
        <f>IFERROR(VLOOKUP($A22,入力シート!$A$18:$AM$600,38,0),"")</f>
        <v>0</v>
      </c>
      <c r="L23" s="25"/>
      <c r="M23" s="25"/>
    </row>
    <row r="24" spans="1:13">
      <c r="A24" s="18">
        <v>5</v>
      </c>
      <c r="B24" s="18"/>
      <c r="C24" s="26" t="str">
        <f>IFERROR(VLOOKUP($A24,入力シート!$A$18:$AM$600,31,0),"")</f>
        <v>宇治アーティスティックスイミングクラブ</v>
      </c>
      <c r="D24" s="26" t="str">
        <f>IFERROR(VLOOKUP($A24,入力シート!$A$18:$AM$600,33,0),"")</f>
        <v>藤かみら/藤さゆり/藤たみこ/藤ななみ</v>
      </c>
      <c r="E24" s="23"/>
      <c r="F24" s="25">
        <f>IFERROR(VLOOKUP($A24,入力シート!$A$18:$AM$600,35,0),"")</f>
        <v>65.944100000000006</v>
      </c>
      <c r="G24" s="23"/>
      <c r="H24" s="25">
        <f>IFERROR(VLOOKUP($A24,入力シート!$A$18:$AM$600,36,0),"")</f>
        <v>97.875</v>
      </c>
      <c r="I24" s="23"/>
      <c r="J24" s="23"/>
      <c r="K24" s="80">
        <f>IFERROR(VLOOKUP($A24,入力シート!$A$18:$AM$600,37,0),"")</f>
        <v>1.5</v>
      </c>
      <c r="L24" s="25"/>
      <c r="M24" s="25">
        <f>IFERROR(VLOOKUP($A24,入力シート!$A$18:$AM$600,39,0),"")</f>
        <v>162.31909999999999</v>
      </c>
    </row>
    <row r="25" spans="1:13">
      <c r="A25" s="18"/>
      <c r="B25" s="18"/>
      <c r="C25" s="26"/>
      <c r="D25" s="26" t="str">
        <f>IFERROR(VLOOKUP($A24,入力シート!$A$18:$AM$600,34,0),"")</f>
        <v>安藤あいり</v>
      </c>
      <c r="E25" s="23"/>
      <c r="F25" s="25"/>
      <c r="G25" s="23"/>
      <c r="H25" s="25"/>
      <c r="I25" s="23"/>
      <c r="J25" s="23"/>
      <c r="K25" s="80">
        <f>IFERROR(VLOOKUP($A24,入力シート!$A$18:$AM$600,38,0),"")</f>
        <v>0</v>
      </c>
      <c r="L25" s="25"/>
      <c r="M25" s="25"/>
    </row>
    <row r="26" spans="1:13" ht="18.75" customHeight="1">
      <c r="A26" s="18">
        <v>6</v>
      </c>
      <c r="B26" s="18"/>
      <c r="C26" s="26" t="str">
        <f>IFERROR(VLOOKUP($A26,入力シート!$A$18:$AM$600,31,0),"")</f>
        <v>関西アーティスティックスイミングクラブ</v>
      </c>
      <c r="D26" s="26" t="str">
        <f>IFERROR(VLOOKUP($A26,入力シート!$A$18:$AM$600,33,0),"")</f>
        <v>安あいり/加かみら/佐さゆり/高たみこ</v>
      </c>
      <c r="E26" s="23"/>
      <c r="F26" s="25">
        <f>IFERROR(VLOOKUP($A26,入力シート!$A$18:$AM$600,35,0),"")</f>
        <v>65.805800000000005</v>
      </c>
      <c r="G26" s="23"/>
      <c r="H26" s="25">
        <f>IFERROR(VLOOKUP($A26,入力シート!$A$18:$AM$600,36,0),"")</f>
        <v>97.875</v>
      </c>
      <c r="I26" s="23"/>
      <c r="J26" s="23"/>
      <c r="K26" s="80">
        <f>IFERROR(VLOOKUP($A26,入力シート!$A$18:$AM$600,37,0),"")</f>
        <v>1.5</v>
      </c>
      <c r="L26" s="25"/>
      <c r="M26" s="25">
        <f>IFERROR(VLOOKUP($A26,入力シート!$A$18:$AM$600,39,0),"")</f>
        <v>162.1808</v>
      </c>
    </row>
    <row r="27" spans="1:13" ht="18.75" customHeight="1">
      <c r="A27" s="18"/>
      <c r="B27" s="18"/>
      <c r="C27" s="26"/>
      <c r="D27" s="26" t="str">
        <f>IFERROR(VLOOKUP($A26,入力シート!$A$18:$AM$600,34,0),"")</f>
        <v>来らん/若わかな</v>
      </c>
      <c r="E27" s="23"/>
      <c r="F27" s="25"/>
      <c r="G27" s="23"/>
      <c r="H27" s="25"/>
      <c r="I27" s="23"/>
      <c r="J27" s="23"/>
      <c r="K27" s="80">
        <f>IFERROR(VLOOKUP($A26,入力シート!$A$18:$AM$600,38,0),"")</f>
        <v>0</v>
      </c>
      <c r="L27" s="25"/>
      <c r="M27" s="25"/>
    </row>
    <row r="28" spans="1:13">
      <c r="A28" s="18">
        <v>7</v>
      </c>
      <c r="B28" s="18"/>
      <c r="C28" s="26" t="str">
        <f>IFERROR(VLOOKUP($A28,入力シート!$A$18:$AM$600,31,0),"")</f>
        <v>栄アーティスティックスイミングクラブ</v>
      </c>
      <c r="D28" s="26" t="str">
        <f>IFERROR(VLOOKUP($A28,入力シート!$A$18:$AM$600,33,0),"")</f>
        <v>ななみ/はるか</v>
      </c>
      <c r="E28" s="23"/>
      <c r="F28" s="25">
        <f>IFERROR(VLOOKUP($A28,入力シート!$A$18:$AM$600,35,0),"")</f>
        <v>65.724100000000007</v>
      </c>
      <c r="G28" s="23"/>
      <c r="H28" s="25">
        <f>IFERROR(VLOOKUP($A28,入力シート!$A$18:$AM$600,36,0),"")</f>
        <v>97.875</v>
      </c>
      <c r="I28" s="23"/>
      <c r="J28" s="23"/>
      <c r="K28" s="80">
        <f>IFERROR(VLOOKUP($A28,入力シート!$A$18:$AM$600,37,0),"")</f>
        <v>1.5</v>
      </c>
      <c r="L28" s="25"/>
      <c r="M28" s="25">
        <f>IFERROR(VLOOKUP($A28,入力シート!$A$18:$AM$600,39,0),"")</f>
        <v>162.09910000000002</v>
      </c>
    </row>
    <row r="29" spans="1:13">
      <c r="A29" s="18"/>
      <c r="B29" s="18"/>
      <c r="C29" s="26"/>
      <c r="D29" s="26" t="str">
        <f>IFERROR(VLOOKUP($A28,入力シート!$A$18:$AM$600,34,0),"")</f>
        <v>来藤らんらん/若藤わかな</v>
      </c>
      <c r="E29" s="23"/>
      <c r="F29" s="25"/>
      <c r="G29" s="23"/>
      <c r="H29" s="25"/>
      <c r="I29" s="23"/>
      <c r="J29" s="23"/>
      <c r="K29" s="80">
        <f>IFERROR(VLOOKUP($A28,入力シート!$A$18:$AM$600,38,0),"")</f>
        <v>0</v>
      </c>
      <c r="L29" s="25"/>
      <c r="M29" s="25"/>
    </row>
    <row r="30" spans="1:13" ht="18.75" customHeight="1">
      <c r="A30" s="18">
        <v>8</v>
      </c>
      <c r="B30" s="18"/>
      <c r="C30" s="26" t="str">
        <f>IFERROR(VLOOKUP($A30,入力シート!$A$18:$AM$600,31,0),"")</f>
        <v>喜多方アーティスティックスイミングクラブ</v>
      </c>
      <c r="D30" s="26" t="str">
        <f>IFERROR(VLOOKUP($A30,入力シート!$A$18:$AM$600,33,0),"")</f>
        <v>来藤らんらん/若藤わかな</v>
      </c>
      <c r="E30" s="23"/>
      <c r="F30" s="25">
        <f>IFERROR(VLOOKUP($A30,入力シート!$A$18:$AM$600,35,0),"")</f>
        <v>65.722499999999997</v>
      </c>
      <c r="G30" s="23"/>
      <c r="H30" s="25">
        <f>IFERROR(VLOOKUP($A30,入力シート!$A$18:$AM$600,36,0),"")</f>
        <v>97.875</v>
      </c>
      <c r="I30" s="23"/>
      <c r="J30" s="23"/>
      <c r="K30" s="80">
        <f>IFERROR(VLOOKUP($A30,入力シート!$A$18:$AM$600,37,0),"")</f>
        <v>1.5</v>
      </c>
      <c r="L30" s="25"/>
      <c r="M30" s="25">
        <f>IFERROR(VLOOKUP($A30,入力シート!$A$18:$AM$600,39,0),"")</f>
        <v>162.0975</v>
      </c>
    </row>
    <row r="31" spans="1:13" ht="18.75" customHeight="1">
      <c r="A31" s="18"/>
      <c r="B31" s="18"/>
      <c r="C31" s="26"/>
      <c r="D31" s="26" t="str">
        <f>IFERROR(VLOOKUP($A30,入力シート!$A$18:$AM$600,34,0),"")</f>
        <v>らん</v>
      </c>
      <c r="E31" s="23"/>
      <c r="F31" s="25"/>
      <c r="G31" s="23"/>
      <c r="H31" s="25"/>
      <c r="I31" s="23"/>
      <c r="J31" s="23"/>
      <c r="K31" s="80">
        <f>IFERROR(VLOOKUP($A30,入力シート!$A$18:$AM$600,38,0),"")</f>
        <v>0</v>
      </c>
      <c r="L31" s="25"/>
      <c r="M31" s="25"/>
    </row>
    <row r="32" spans="1:13" ht="18.75" customHeight="1">
      <c r="A32" s="18">
        <v>9</v>
      </c>
      <c r="B32" s="18"/>
      <c r="C32" s="26" t="str">
        <f>IFERROR(VLOOKUP($A31,入力シート!$A$18:$AM$600,31,0),"")</f>
        <v/>
      </c>
      <c r="D32" s="26" t="str">
        <f>IFERROR(VLOOKUP($A32,入力シート!$A$18:$AM$600,33,0),"")</f>
        <v>あみ/さり/たみ/なな</v>
      </c>
      <c r="E32" s="23"/>
      <c r="F32" s="25">
        <f>IFERROR(VLOOKUP($A32,入力シート!$A$18:$AM$600,35,0),"")</f>
        <v>65.404100000000014</v>
      </c>
      <c r="G32" s="23"/>
      <c r="H32" s="25">
        <f>IFERROR(VLOOKUP($A32,入力シート!$A$18:$AM$600,36,0),"")</f>
        <v>97.875</v>
      </c>
      <c r="I32" s="23"/>
      <c r="J32" s="23"/>
      <c r="K32" s="80">
        <f>IFERROR(VLOOKUP($A32,入力シート!$A$18:$AM$600,37,0),"")</f>
        <v>1.5</v>
      </c>
      <c r="L32" s="25"/>
      <c r="M32" s="25">
        <f>IFERROR(VLOOKUP($A32,入力シート!$A$18:$AM$600,39,0),"")</f>
        <v>161.77910000000003</v>
      </c>
    </row>
    <row r="33" spans="1:13" ht="18.75" customHeight="1">
      <c r="A33" s="18"/>
      <c r="B33" s="18"/>
      <c r="C33" s="26"/>
      <c r="D33" s="26" t="str">
        <f>IFERROR(VLOOKUP($A32,入力シート!$A$18:$AM$600,34,0),"")</f>
        <v>来/若</v>
      </c>
      <c r="E33" s="23"/>
      <c r="F33" s="25"/>
      <c r="G33" s="23"/>
      <c r="H33" s="25"/>
      <c r="I33" s="23"/>
      <c r="J33" s="23"/>
      <c r="K33" s="80">
        <f>IFERROR(VLOOKUP($A32,入力シート!$A$18:$AM$600,38,0),"")</f>
        <v>0</v>
      </c>
      <c r="L33" s="25"/>
      <c r="M33" s="25"/>
    </row>
    <row r="34" spans="1:13" ht="18.75" customHeight="1">
      <c r="A34" s="18">
        <v>10</v>
      </c>
      <c r="B34" s="18"/>
      <c r="C34" s="26" t="str">
        <f>IFERROR(VLOOKUP($A34,入力シート!$A$18:$AM$600,31,0),"")</f>
        <v>博多アーティスティックスイミングクラブ</v>
      </c>
      <c r="D34" s="26" t="str">
        <f>IFERROR(VLOOKUP($A34,入力シート!$A$18:$AM$600,33,0),"")</f>
        <v>まりな/やくみ</v>
      </c>
      <c r="E34" s="23"/>
      <c r="F34" s="25">
        <f>IFERROR(VLOOKUP($A34,入力シート!$A$18:$AM$600,35,0),"")</f>
        <v>65.324100000000016</v>
      </c>
      <c r="G34" s="23"/>
      <c r="H34" s="25">
        <f>IFERROR(VLOOKUP($A34,入力シート!$A$18:$AM$600,36,0),"")</f>
        <v>97.875</v>
      </c>
      <c r="I34" s="23"/>
      <c r="J34" s="23"/>
      <c r="K34" s="80">
        <f>IFERROR(VLOOKUP($A34,入力シート!$A$18:$AM$600,37,0),"")</f>
        <v>1.5</v>
      </c>
      <c r="L34" s="25"/>
      <c r="M34" s="25">
        <f>IFERROR(VLOOKUP($A34,入力シート!$A$18:$AM$600,39,0),"")</f>
        <v>161.69910000000002</v>
      </c>
    </row>
    <row r="35" spans="1:13" ht="18.75" customHeight="1">
      <c r="A35" s="18"/>
      <c r="B35" s="18"/>
      <c r="C35" s="26"/>
      <c r="D35" s="26" t="str">
        <f>IFERROR(VLOOKUP($A34,入力シート!$A$18:$AM$600,34,0),"")</f>
        <v>来藤らんらん/若藤わかな</v>
      </c>
      <c r="E35" s="23"/>
      <c r="F35" s="25"/>
      <c r="G35" s="23"/>
      <c r="H35" s="25"/>
      <c r="I35" s="23"/>
      <c r="J35" s="23"/>
      <c r="K35" s="80">
        <f>IFERROR(VLOOKUP($A34,入力シート!$A$18:$AM$600,38,0),"")</f>
        <v>0</v>
      </c>
      <c r="L35" s="25"/>
      <c r="M35" s="25"/>
    </row>
    <row r="36" spans="1:13">
      <c r="A36" s="18">
        <v>11</v>
      </c>
      <c r="B36" s="18"/>
      <c r="C36" s="26" t="str">
        <f>IFERROR(VLOOKUP($A36,入力シート!$A$18:$AM$600,31,0),"")</f>
        <v>信州アーティスティックスイミングクラブ</v>
      </c>
      <c r="D36" s="26" t="str">
        <f>IFERROR(VLOOKUP($A36,入力シート!$A$18:$AM$600,33,0),"")</f>
        <v>あいり/かみら</v>
      </c>
      <c r="E36" s="23"/>
      <c r="F36" s="25">
        <f>IFERROR(VLOOKUP($A36,入力シート!$A$18:$AM$600,35,0),"")</f>
        <v>65.724100000000007</v>
      </c>
      <c r="G36" s="23"/>
      <c r="H36" s="25">
        <f>IFERROR(VLOOKUP($A36,入力シート!$A$18:$AM$600,36,0),"")</f>
        <v>97.875</v>
      </c>
      <c r="I36" s="23"/>
      <c r="J36" s="23"/>
      <c r="K36" s="80">
        <f>IFERROR(VLOOKUP($A36,入力シート!$A$18:$AM$600,37,0),"")</f>
        <v>2</v>
      </c>
      <c r="L36" s="25"/>
      <c r="M36" s="25">
        <f>IFERROR(VLOOKUP($A36,入力シート!$A$18:$AM$600,39,0),"")</f>
        <v>161.59910000000002</v>
      </c>
    </row>
    <row r="37" spans="1:13">
      <c r="A37" s="18"/>
      <c r="B37" s="18"/>
      <c r="C37" s="26"/>
      <c r="D37" s="26" t="str">
        <f>IFERROR(VLOOKUP($A36,入力シート!$A$18:$AM$600,34,0),"")</f>
        <v>来藤らんらん/若藤わかな</v>
      </c>
      <c r="E37" s="23"/>
      <c r="F37" s="25"/>
      <c r="G37" s="23"/>
      <c r="H37" s="25"/>
      <c r="I37" s="23"/>
      <c r="J37" s="23"/>
      <c r="K37" s="80">
        <f>IFERROR(VLOOKUP($A36,入力シート!$A$18:$AM$600,38,0),"")</f>
        <v>0</v>
      </c>
      <c r="L37" s="25"/>
      <c r="M37" s="25"/>
    </row>
    <row r="38" spans="1:13" ht="18.75" customHeight="1">
      <c r="A38" s="18">
        <v>12</v>
      </c>
      <c r="B38" s="18"/>
      <c r="C38" s="26" t="str">
        <f>IFERROR(VLOOKUP($A38,入力シート!$A$18:$AM$600,31,0),"")</f>
        <v>桜島アーティスティックスイミングクラブ</v>
      </c>
      <c r="D38" s="26" t="str">
        <f>IFERROR(VLOOKUP($A38,入力シート!$A$18:$AM$600,33,0),"")</f>
        <v>藤らん/藤わか</v>
      </c>
      <c r="E38" s="23"/>
      <c r="F38" s="25">
        <f>IFERROR(VLOOKUP($A38,入力シート!$A$18:$AM$600,35,0),"")</f>
        <v>65.084100000000007</v>
      </c>
      <c r="G38" s="23"/>
      <c r="H38" s="25">
        <f>IFERROR(VLOOKUP($A38,入力シート!$A$18:$AM$600,36,0),"")</f>
        <v>97.875</v>
      </c>
      <c r="I38" s="23"/>
      <c r="J38" s="23"/>
      <c r="K38" s="80">
        <f>IFERROR(VLOOKUP($A38,入力シート!$A$18:$AM$600,37,0),"")</f>
        <v>1.5</v>
      </c>
      <c r="L38" s="25"/>
      <c r="M38" s="25">
        <f>IFERROR(VLOOKUP($A38,入力シート!$A$18:$AM$600,39,0),"")</f>
        <v>161.45910000000001</v>
      </c>
    </row>
    <row r="39" spans="1:13" ht="18.75" customHeight="1">
      <c r="A39" s="18"/>
      <c r="B39" s="18"/>
      <c r="C39" s="26"/>
      <c r="D39" s="26">
        <f>IFERROR(VLOOKUP($A38,入力シート!$A$18:$AM$600,34,0),"")</f>
        <v>0</v>
      </c>
      <c r="E39" s="23"/>
      <c r="F39" s="25"/>
      <c r="G39" s="23"/>
      <c r="H39" s="25"/>
      <c r="I39" s="23"/>
      <c r="J39" s="23"/>
      <c r="K39" s="80">
        <f>IFERROR(VLOOKUP($A38,入力シート!$A$18:$AM$600,38,0),"")</f>
        <v>0</v>
      </c>
      <c r="L39" s="25"/>
      <c r="M39" s="25"/>
    </row>
    <row r="40" spans="1:13" ht="18.75" customHeight="1">
      <c r="A40" s="18">
        <v>13</v>
      </c>
      <c r="B40" s="18"/>
      <c r="C40" s="26" t="str">
        <f>IFERROR(VLOOKUP($A40,入力シート!$A$18:$AM$600,31,0),"")</f>
        <v>筑波アーティスティックスイミングクラブ</v>
      </c>
      <c r="D40" s="26" t="str">
        <f>IFERROR(VLOOKUP($A40,入力シート!$A$18:$AM$600,33,0),"")</f>
        <v>花藤はるか/松藤まりな/山藤やくみ</v>
      </c>
      <c r="E40" s="23"/>
      <c r="F40" s="25">
        <f>IFERROR(VLOOKUP($A40,入力シート!$A$18:$AM$600,35,0),"")</f>
        <v>59.455000000000013</v>
      </c>
      <c r="G40" s="23"/>
      <c r="H40" s="25">
        <f>IFERROR(VLOOKUP($A40,入力シート!$A$18:$AM$600,36,0),"")</f>
        <v>100.35</v>
      </c>
      <c r="I40" s="23"/>
      <c r="J40" s="23"/>
      <c r="K40" s="80">
        <f>IFERROR(VLOOKUP($A40,入力シート!$A$18:$AM$600,37,0),"")</f>
        <v>0</v>
      </c>
      <c r="L40" s="25"/>
      <c r="M40" s="25">
        <f>IFERROR(VLOOKUP($A40,入力シート!$A$18:$AM$600,39,0),"")</f>
        <v>159.80500000000001</v>
      </c>
    </row>
    <row r="41" spans="1:13" ht="18.75" customHeight="1">
      <c r="A41" s="18"/>
      <c r="B41" s="18"/>
      <c r="C41" s="26"/>
      <c r="D41" s="26" t="str">
        <f>IFERROR(VLOOKUP($A40,入力シート!$A$18:$AM$600,34,0),"")</f>
        <v>来藤らんらん/若藤わかな</v>
      </c>
      <c r="E41" s="23"/>
      <c r="F41" s="25"/>
      <c r="G41" s="23"/>
      <c r="H41" s="25"/>
      <c r="I41" s="23"/>
      <c r="J41" s="23"/>
      <c r="K41" s="80">
        <f>IFERROR(VLOOKUP($A40,入力シート!$A$18:$AM$600,38,0),"")</f>
        <v>0</v>
      </c>
      <c r="L41" s="25"/>
      <c r="M41" s="25"/>
    </row>
    <row r="42" spans="1:13" ht="18.75" customHeight="1">
      <c r="A42" s="18">
        <v>14</v>
      </c>
      <c r="B42" s="18"/>
      <c r="C42" s="26" t="str">
        <f>IFERROR(VLOOKUP($A42,入力シート!$A$18:$AM$600,31,0),"")</f>
        <v>藤枝アーティスティックスイミングクラブ</v>
      </c>
      <c r="D42" s="26" t="str">
        <f>IFERROR(VLOOKUP($A42,入力シート!$A$18:$AM$600,33,0),"")</f>
        <v>さゆり/たみこ</v>
      </c>
      <c r="E42" s="23"/>
      <c r="F42" s="25">
        <f>IFERROR(VLOOKUP($A42,入力シート!$A$18:$AM$600,35,0),"")</f>
        <v>62.751599999999996</v>
      </c>
      <c r="G42" s="23"/>
      <c r="H42" s="25">
        <f>IFERROR(VLOOKUP($A42,入力シート!$A$18:$AM$600,36,0),"")</f>
        <v>97.875</v>
      </c>
      <c r="I42" s="23"/>
      <c r="J42" s="23"/>
      <c r="K42" s="80">
        <f>IFERROR(VLOOKUP($A42,入力シート!$A$18:$AM$600,37,0),"")</f>
        <v>1.5</v>
      </c>
      <c r="L42" s="25"/>
      <c r="M42" s="25">
        <f>IFERROR(VLOOKUP($A42,入力シート!$A$18:$AM$600,39,0),"")</f>
        <v>159.1266</v>
      </c>
    </row>
    <row r="43" spans="1:13" ht="18.75" customHeight="1">
      <c r="A43" s="18"/>
      <c r="B43" s="18"/>
      <c r="C43" s="26"/>
      <c r="D43" s="26" t="str">
        <f>IFERROR(VLOOKUP($A42,入力シート!$A$18:$AM$600,34,0),"")</f>
        <v>来藤らんらん/若藤わかな</v>
      </c>
      <c r="E43" s="23"/>
      <c r="F43" s="25"/>
      <c r="G43" s="23"/>
      <c r="H43" s="25"/>
      <c r="I43" s="23"/>
      <c r="J43" s="23"/>
      <c r="K43" s="80">
        <f>IFERROR(VLOOKUP($A42,入力シート!$A$18:$AM$600,38,0),"")</f>
        <v>0</v>
      </c>
      <c r="L43" s="25"/>
      <c r="M43" s="25"/>
    </row>
    <row r="44" spans="1:13" ht="18.75" customHeight="1">
      <c r="A44" s="18">
        <v>15</v>
      </c>
      <c r="B44" s="18"/>
      <c r="C44" s="26" t="str">
        <f>IFERROR(VLOOKUP($A44,入力シート!$A$18:$AM$600,31,0),"")</f>
        <v>上アーティスティックスイミングクラブ</v>
      </c>
      <c r="D44" s="26" t="str">
        <f>IFERROR(VLOOKUP($A44,入力シート!$A$18:$AM$600,33,0),"")</f>
        <v>佐藤たみこ/内藤はるか/松藤やくみ</v>
      </c>
      <c r="E44" s="23"/>
      <c r="F44" s="25">
        <f>IFERROR(VLOOKUP($A44,入力シート!$A$18:$AM$600,35,0),"")</f>
        <v>60.999100000000013</v>
      </c>
      <c r="G44" s="23"/>
      <c r="H44" s="25">
        <f>IFERROR(VLOOKUP($A44,入力シート!$A$18:$AM$600,36,0),"")</f>
        <v>97.875</v>
      </c>
      <c r="I44" s="23"/>
      <c r="J44" s="23"/>
      <c r="K44" s="80">
        <f>IFERROR(VLOOKUP($A44,入力シート!$A$18:$AM$600,37,0),"")</f>
        <v>1.5</v>
      </c>
      <c r="L44" s="25"/>
      <c r="M44" s="25">
        <f>IFERROR(VLOOKUP($A44,入力シート!$A$18:$AM$600,39,0),"")</f>
        <v>157.3741</v>
      </c>
    </row>
    <row r="45" spans="1:13" ht="18.75" customHeight="1">
      <c r="A45" s="18"/>
      <c r="B45" s="18"/>
      <c r="C45" s="26"/>
      <c r="D45" s="26" t="str">
        <f>IFERROR(VLOOKUP($A44,入力シート!$A$18:$AM$600,34,0),"")</f>
        <v>わかな</v>
      </c>
      <c r="E45" s="23"/>
      <c r="F45" s="25"/>
      <c r="G45" s="23"/>
      <c r="H45" s="25"/>
      <c r="I45" s="23"/>
      <c r="J45" s="23"/>
      <c r="K45" s="80">
        <f>IFERROR(VLOOKUP($A44,入力シート!$A$18:$AM$600,38,0),"")</f>
        <v>0</v>
      </c>
      <c r="L45" s="25"/>
      <c r="M45" s="25"/>
    </row>
    <row r="46" spans="1:13" ht="18.75" customHeight="1">
      <c r="A46" s="18">
        <v>16</v>
      </c>
      <c r="B46" s="21"/>
      <c r="C46" s="26" t="str">
        <f>IFERROR(VLOOKUP($A46,入力シート!$A$18:$AM$600,31,0),"")</f>
        <v>道頓堀アーティスティックスイミングクラブ</v>
      </c>
      <c r="D46" s="26" t="str">
        <f>IFERROR(VLOOKUP($A46,入力シート!$A$18:$AM$600,33,0),"")</f>
        <v>松藤まりな/山藤やくみ</v>
      </c>
      <c r="E46" s="23"/>
      <c r="F46" s="25">
        <f>IFERROR(VLOOKUP($A46,入力シート!$A$18:$AM$600,35,0),"")</f>
        <v>57.844999999999999</v>
      </c>
      <c r="G46" s="23"/>
      <c r="H46" s="25">
        <f>IFERROR(VLOOKUP($A46,入力シート!$A$18:$AM$600,36,0),"")</f>
        <v>92.825000000000003</v>
      </c>
      <c r="I46" s="23"/>
      <c r="J46" s="23"/>
      <c r="K46" s="80">
        <f>IFERROR(VLOOKUP($A46,入力シート!$A$18:$AM$600,37,0),"")</f>
        <v>2</v>
      </c>
      <c r="L46" s="25"/>
      <c r="M46" s="25">
        <f>IFERROR(VLOOKUP($A46,入力シート!$A$18:$AM$600,39,0),"")</f>
        <v>148.67000000000002</v>
      </c>
    </row>
    <row r="47" spans="1:13" ht="18.75" customHeight="1">
      <c r="A47" s="18"/>
      <c r="B47" s="21"/>
      <c r="C47" s="26"/>
      <c r="D47" s="26" t="str">
        <f>IFERROR(VLOOKUP($A46,入力シート!$A$18:$AM$600,34,0),"")</f>
        <v>来藤らんらん/若藤わかな</v>
      </c>
      <c r="E47" s="23"/>
      <c r="F47" s="25"/>
      <c r="G47" s="23"/>
      <c r="H47" s="25"/>
      <c r="I47" s="23"/>
      <c r="J47" s="23"/>
      <c r="K47" s="80">
        <f>IFERROR(VLOOKUP($A46,入力シート!$A$18:$AM$600,38,0),"")</f>
        <v>0</v>
      </c>
      <c r="L47" s="25"/>
      <c r="M47" s="25"/>
    </row>
    <row r="48" spans="1:13">
      <c r="A48" s="18">
        <v>17</v>
      </c>
      <c r="C48" s="26" t="str">
        <f>IFERROR(VLOOKUP($A48,入力シート!$A$18:$AM$600,31,0),"")</f>
        <v>神奈川アーティスティックスイミングクラブ</v>
      </c>
      <c r="D48" s="26" t="str">
        <f>IFERROR(VLOOKUP($A48,入力シート!$A$18:$AM$600,33,0),"")</f>
        <v>佐藤さゆり/高藤たみこ/内藤ななみ/花藤はるか/松藤まりな/山藤やくみ</v>
      </c>
      <c r="E48" s="23"/>
      <c r="F48" s="25">
        <f>IFERROR(VLOOKUP($A48,入力シート!$A$18:$AM$600,35,0),"")</f>
        <v>28.591599999999996</v>
      </c>
      <c r="G48" s="23"/>
      <c r="H48" s="25">
        <f>IFERROR(VLOOKUP($A48,入力シート!$A$18:$AM$600,36,0),"")</f>
        <v>100.72499999999999</v>
      </c>
      <c r="I48" s="23"/>
      <c r="J48" s="23"/>
      <c r="K48" s="80">
        <f>IFERROR(VLOOKUP($A48,入力シート!$A$18:$AM$600,37,0),"")</f>
        <v>0</v>
      </c>
      <c r="L48" s="25"/>
      <c r="M48" s="25">
        <f>IFERROR(VLOOKUP($A48,入力シート!$A$18:$AM$600,39,0),"")</f>
        <v>129.31659999999999</v>
      </c>
    </row>
    <row r="49" spans="1:13">
      <c r="A49" s="18"/>
      <c r="C49" s="26"/>
      <c r="D49" s="26" t="str">
        <f>IFERROR(VLOOKUP($A48,入力シート!$A$18:$AM$600,34,0),"")</f>
        <v>来藤らんらん/若藤わかな</v>
      </c>
      <c r="E49" s="23"/>
      <c r="F49" s="25"/>
      <c r="G49" s="23"/>
      <c r="H49" s="25"/>
      <c r="I49" s="23"/>
      <c r="J49" s="23"/>
      <c r="K49" s="80">
        <f>IFERROR(VLOOKUP($A48,入力シート!$A$18:$AM$600,38,0),"")</f>
        <v>0</v>
      </c>
      <c r="L49" s="25"/>
      <c r="M49" s="25"/>
    </row>
    <row r="50" spans="1:13">
      <c r="A50" s="18">
        <v>18</v>
      </c>
      <c r="C50" s="26" t="str">
        <f>IFERROR(VLOOKUP($A50,入力シート!$A$18:$AM$600,31,0),"")</f>
        <v>埼玉アーティスティックスイミングクラブ</v>
      </c>
      <c r="D50" s="26" t="str">
        <f>IFERROR(VLOOKUP($A50,入力シート!$A$18:$AM$600,33,0),"")</f>
        <v>高藤たみこ/内藤ななみ/花藤はるか/松藤まりな/山藤やくみ</v>
      </c>
      <c r="E50" s="23"/>
      <c r="F50" s="25">
        <f>IFERROR(VLOOKUP($A50,入力シート!$A$18:$AM$600,35,0),"")</f>
        <v>30.104199999999995</v>
      </c>
      <c r="G50" s="23"/>
      <c r="H50" s="25">
        <f>IFERROR(VLOOKUP($A50,入力シート!$A$18:$AM$600,36,0),"")</f>
        <v>93.25</v>
      </c>
      <c r="I50" s="23"/>
      <c r="J50" s="23"/>
      <c r="K50" s="80">
        <f>IFERROR(VLOOKUP($A50,入力シート!$A$18:$AM$600,37,0),"")</f>
        <v>0</v>
      </c>
      <c r="L50" s="25"/>
      <c r="M50" s="25">
        <f>IFERROR(VLOOKUP($A50,入力シート!$A$18:$AM$600,39,0),"")</f>
        <v>121.35419999999999</v>
      </c>
    </row>
    <row r="51" spans="1:13">
      <c r="A51" s="18"/>
      <c r="C51" s="26"/>
      <c r="D51" s="26" t="str">
        <f>IFERROR(VLOOKUP($A50,入力シート!$A$18:$AM$600,34,0),"")</f>
        <v>来藤らんらん/若藤わかな</v>
      </c>
      <c r="E51" s="23"/>
      <c r="F51" s="25"/>
      <c r="G51" s="23"/>
      <c r="H51" s="25"/>
      <c r="I51" s="23"/>
      <c r="J51" s="23"/>
      <c r="K51" s="80">
        <f>IFERROR(VLOOKUP($A50,入力シート!$A$18:$AM$600,38,0),"")</f>
        <v>2</v>
      </c>
      <c r="L51" s="25"/>
      <c r="M51" s="25"/>
    </row>
    <row r="52" spans="1:13">
      <c r="A52" s="18">
        <v>19</v>
      </c>
      <c r="C52" s="26" t="str">
        <f>IFERROR(VLOOKUP($A52,入力シート!$A$18:$AM$600,31,0),"")</f>
        <v>世田谷アーティスティックスイミングクラブ</v>
      </c>
      <c r="D52" s="26" t="str">
        <f>IFERROR(VLOOKUP($A52,入力シート!$A$18:$AM$600,33,0),"")</f>
        <v>加藤かみら/佐藤さゆり/高藤たみこ/内藤ななみ/花藤はるか/松藤まりな/山藤やくみ</v>
      </c>
      <c r="E52" s="23"/>
      <c r="F52" s="25">
        <f>IFERROR(VLOOKUP($A52,入力シート!$A$18:$AM$600,35,0),"")</f>
        <v>15.490099999999996</v>
      </c>
      <c r="G52" s="23"/>
      <c r="H52" s="25">
        <f>IFERROR(VLOOKUP($A52,入力シート!$A$18:$AM$600,36,0),"")</f>
        <v>94.275000000000006</v>
      </c>
      <c r="I52" s="23"/>
      <c r="J52" s="23"/>
      <c r="K52" s="80">
        <f>IFERROR(VLOOKUP($A52,入力シート!$A$18:$AM$600,37,0),"")</f>
        <v>0</v>
      </c>
      <c r="L52" s="25"/>
      <c r="M52" s="25">
        <f>IFERROR(VLOOKUP($A52,入力シート!$A$18:$AM$600,39,0),"")</f>
        <v>109.7651</v>
      </c>
    </row>
    <row r="53" spans="1:13">
      <c r="A53" s="18"/>
      <c r="C53" s="26"/>
      <c r="D53" s="26" t="str">
        <f>IFERROR(VLOOKUP($A52,入力シート!$A$18:$AM$600,34,0),"")</f>
        <v>来藤らんらん/若藤わかな</v>
      </c>
      <c r="E53" s="23"/>
      <c r="F53" s="25"/>
      <c r="G53" s="23"/>
      <c r="H53" s="25"/>
      <c r="I53" s="23"/>
      <c r="J53" s="23"/>
      <c r="K53" s="80">
        <f>IFERROR(VLOOKUP($A52,入力シート!$A$18:$AM$600,38,0),"")</f>
        <v>0</v>
      </c>
      <c r="L53" s="25"/>
      <c r="M53" s="25"/>
    </row>
    <row r="54" spans="1:13">
      <c r="A54" s="18">
        <v>20</v>
      </c>
      <c r="C54" s="26">
        <f>IFERROR(VLOOKUP($A54,入力シート!$A$18:$AM$600,31,0),"")</f>
        <v>20</v>
      </c>
      <c r="D54" s="26">
        <f>IFERROR(VLOOKUP($A54,入力シート!$A$18:$AM$600,33,0),"")</f>
        <v>0</v>
      </c>
      <c r="E54" s="23"/>
      <c r="F54" s="25">
        <f>IFERROR(VLOOKUP($A54,入力シート!$A$18:$AM$600,35,0),"")</f>
        <v>-7.7</v>
      </c>
      <c r="G54" s="23"/>
      <c r="H54" s="25">
        <f>IFERROR(VLOOKUP($A54,入力シート!$A$18:$AM$600,36,0),"")</f>
        <v>97.875</v>
      </c>
      <c r="I54" s="23"/>
      <c r="J54" s="23"/>
      <c r="K54" s="80">
        <f>IFERROR(VLOOKUP($A54,入力シート!$A$18:$AM$600,37,0),"")</f>
        <v>1.5</v>
      </c>
      <c r="L54" s="25"/>
      <c r="M54" s="25">
        <f>IFERROR(VLOOKUP($A54,入力シート!$A$18:$AM$600,39,0),"")</f>
        <v>88.674999999999997</v>
      </c>
    </row>
    <row r="55" spans="1:13">
      <c r="C55" s="26" t="str">
        <f>IFERROR(VLOOKUP($A55,入力シート!$A$18:$AM$600,31,0),"")</f>
        <v/>
      </c>
      <c r="D55" s="26">
        <f>IFERROR(VLOOKUP($A54,入力シート!$A$18:$AM$600,34,0),"")</f>
        <v>0</v>
      </c>
      <c r="E55" s="23"/>
      <c r="F55" s="25"/>
      <c r="G55" s="23"/>
      <c r="H55" s="25"/>
      <c r="I55" s="23"/>
      <c r="J55" s="23"/>
      <c r="K55" s="80">
        <f>IFERROR(VLOOKUP($A54,入力シート!$A$18:$AM$600,38,0),"")</f>
        <v>0</v>
      </c>
      <c r="L55" s="25"/>
      <c r="M55" s="25"/>
    </row>
    <row r="56" spans="1:13">
      <c r="C56" s="29" t="str">
        <f>IFERROR(VLOOKUP($A56,入力シート!$A$18:$AM$213,31,0),"")</f>
        <v/>
      </c>
      <c r="D56" s="29"/>
      <c r="E56" s="29"/>
      <c r="F56" s="29" t="str">
        <f>IFERROR(VLOOKUP($A56,入力シート!$A$18:$AM$213,36,0),"")</f>
        <v/>
      </c>
      <c r="G56" s="29"/>
      <c r="H56" s="29" t="str">
        <f>IFERROR(VLOOKUP($A56,入力シート!$A$18:$AM$213,37,0),"")</f>
        <v/>
      </c>
      <c r="I56" s="29"/>
      <c r="J56" s="29"/>
      <c r="K56" s="30" t="str">
        <f>IFERROR(VLOOKUP($A56,入力シート!$A$18:$AM$213,39,0),"")</f>
        <v/>
      </c>
      <c r="L56" s="30"/>
      <c r="M56" s="30" t="str">
        <f>IFERROR(VLOOKUP($A56,入力シート!$A$18:$AM$213,27,0),"")</f>
        <v/>
      </c>
    </row>
    <row r="57" spans="1:13">
      <c r="C57" s="21" t="str">
        <f>IFERROR(VLOOKUP($A57,入力シート!$A$18:$AL$213,31,0),"")</f>
        <v/>
      </c>
      <c r="D57" s="21"/>
      <c r="E57" s="21"/>
      <c r="F57" s="21" t="str">
        <f>IFERROR(VLOOKUP($A57,入力シート!$A$18:$AL$213,36,0),"")</f>
        <v/>
      </c>
      <c r="G57" s="21"/>
      <c r="H57" s="21" t="str">
        <f>IFERROR(VLOOKUP($A57,入力シート!$A$18:$AL$213,37,0),"")</f>
        <v/>
      </c>
      <c r="I57" s="21"/>
      <c r="J57" s="21"/>
      <c r="K57" s="28" t="str">
        <f>IFERROR(VLOOKUP($A57,入力シート!$A$18:$AL$213,39,0),"")</f>
        <v/>
      </c>
      <c r="L57" s="28"/>
      <c r="M57" s="28" t="str">
        <f>IFERROR(VLOOKUP($A57,入力シート!$A$18:$AL$213,27,0),"")</f>
        <v/>
      </c>
    </row>
  </sheetData>
  <mergeCells count="17">
    <mergeCell ref="F12:H12"/>
    <mergeCell ref="K12:N12"/>
    <mergeCell ref="F14:H14"/>
    <mergeCell ref="K14:N14"/>
    <mergeCell ref="F9:H9"/>
    <mergeCell ref="F10:H10"/>
    <mergeCell ref="F11:H11"/>
    <mergeCell ref="F13:H13"/>
    <mergeCell ref="K13:N13"/>
    <mergeCell ref="K9:O9"/>
    <mergeCell ref="K10:O10"/>
    <mergeCell ref="K11:O11"/>
    <mergeCell ref="B5:C5"/>
    <mergeCell ref="B1:C1"/>
    <mergeCell ref="B2:C2"/>
    <mergeCell ref="B3:C3"/>
    <mergeCell ref="G5:H5"/>
  </mergeCells>
  <phoneticPr fontId="1"/>
  <pageMargins left="0.7" right="0.7" top="0.75" bottom="0.75" header="0.3" footer="0.3"/>
  <pageSetup paperSize="9"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F14-C5C0-4928-9144-C6BB9CE02D92}">
  <sheetPr>
    <tabColor rgb="FFFFC000"/>
    <pageSetUpPr fitToPage="1"/>
  </sheetPr>
  <dimension ref="A1:N36"/>
  <sheetViews>
    <sheetView workbookViewId="0"/>
  </sheetViews>
  <sheetFormatPr defaultColWidth="9" defaultRowHeight="18.75"/>
  <cols>
    <col min="2" max="2" width="3" customWidth="1"/>
    <col min="3" max="3" width="33.375" customWidth="1"/>
    <col min="4" max="4" width="2.25" bestFit="1" customWidth="1"/>
    <col min="5" max="5" width="10.25" customWidth="1"/>
    <col min="6" max="6" width="2.25" bestFit="1" customWidth="1"/>
    <col min="7" max="7" width="10.25" customWidth="1"/>
    <col min="8" max="8" width="3.125" customWidth="1"/>
    <col min="9" max="9" width="10.25" customWidth="1"/>
    <col min="10" max="10" width="4.75" bestFit="1" customWidth="1"/>
    <col min="11" max="11" width="1.875" customWidth="1"/>
    <col min="12" max="12" width="7.125" bestFit="1" customWidth="1"/>
    <col min="13" max="13" width="10.25" customWidth="1"/>
  </cols>
  <sheetData>
    <row r="1" spans="1:14" s="34" customFormat="1">
      <c r="A1" s="34" t="s">
        <v>53</v>
      </c>
      <c r="B1" s="206" t="str">
        <f>IF(入力シート!D$1="","",入力シート!D$1)</f>
        <v>●●●</v>
      </c>
      <c r="C1" s="206"/>
    </row>
    <row r="2" spans="1:14" s="34" customFormat="1">
      <c r="A2" s="34" t="s">
        <v>56</v>
      </c>
      <c r="B2" s="206" t="str">
        <f>IF(入力シート!N$1="","",入力シート!N$1)</f>
        <v>■■■</v>
      </c>
      <c r="C2" s="206"/>
    </row>
    <row r="3" spans="1:14" s="34" customFormat="1">
      <c r="A3" s="34" t="s">
        <v>57</v>
      </c>
      <c r="B3" s="206" t="str">
        <f>IF(入力シート!V$1="","",入力シート!V$1)</f>
        <v>20XX年XX月XX日</v>
      </c>
      <c r="C3" s="206"/>
    </row>
    <row r="4" spans="1:14" s="34" customFormat="1" ht="18.75" customHeight="1">
      <c r="A4" s="35" t="s">
        <v>55</v>
      </c>
    </row>
    <row r="5" spans="1:14" s="34" customFormat="1" ht="18.75" customHeight="1">
      <c r="A5" s="34" t="s">
        <v>54</v>
      </c>
      <c r="B5" s="206" t="str">
        <f>IF(入力シート!D$4="種目を選択","",入力シート!D$4)</f>
        <v>チーム　テクニカル</v>
      </c>
      <c r="C5" s="206"/>
      <c r="G5" s="34" t="s">
        <v>102</v>
      </c>
      <c r="H5" s="206" t="str">
        <f>IF(入力シート!D$3="年齢区分を選択","",入力シート!D$3)</f>
        <v>Sr（シニア）</v>
      </c>
      <c r="I5" s="206"/>
      <c r="J5" s="206"/>
      <c r="K5" s="206"/>
    </row>
    <row r="6" spans="1:14" s="34" customFormat="1" ht="9.75" customHeight="1">
      <c r="B6" s="52"/>
      <c r="C6" s="52"/>
    </row>
    <row r="7" spans="1:14" s="34" customFormat="1" ht="18.75" customHeight="1">
      <c r="A7" s="34" t="s">
        <v>58</v>
      </c>
      <c r="C7" s="77"/>
    </row>
    <row r="8" spans="1:14" s="34" customFormat="1" ht="18.75" customHeight="1">
      <c r="B8" s="34" t="s">
        <v>59</v>
      </c>
      <c r="C8" s="32"/>
      <c r="D8" s="32"/>
      <c r="E8" s="34" t="s">
        <v>60</v>
      </c>
      <c r="I8" s="32" t="s">
        <v>61</v>
      </c>
      <c r="J8" s="32"/>
      <c r="M8" s="32"/>
    </row>
    <row r="9" spans="1:14" s="34" customFormat="1" ht="18.75" customHeight="1">
      <c r="A9" s="31">
        <v>1</v>
      </c>
      <c r="B9" s="31"/>
      <c r="C9" s="76"/>
      <c r="D9" s="33">
        <v>1</v>
      </c>
      <c r="E9" s="213"/>
      <c r="F9" s="207"/>
      <c r="G9" s="207"/>
      <c r="H9" s="31">
        <v>1</v>
      </c>
      <c r="I9" s="210" t="s">
        <v>65</v>
      </c>
      <c r="J9" s="211"/>
      <c r="K9" s="211"/>
      <c r="L9" s="212"/>
      <c r="N9" s="32"/>
    </row>
    <row r="10" spans="1:14" s="34" customFormat="1">
      <c r="A10" s="31">
        <v>2</v>
      </c>
      <c r="B10" s="31"/>
      <c r="C10" s="76"/>
      <c r="D10" s="33">
        <v>2</v>
      </c>
      <c r="E10" s="213"/>
      <c r="F10" s="207"/>
      <c r="G10" s="207"/>
      <c r="H10" s="31">
        <v>2</v>
      </c>
      <c r="I10" s="210" t="s">
        <v>65</v>
      </c>
      <c r="J10" s="211"/>
      <c r="K10" s="211"/>
      <c r="L10" s="212"/>
    </row>
    <row r="11" spans="1:14" s="34" customFormat="1">
      <c r="A11" s="31">
        <v>3</v>
      </c>
      <c r="B11" s="31"/>
      <c r="C11" s="76"/>
      <c r="D11" s="33">
        <v>3</v>
      </c>
      <c r="E11" s="213"/>
      <c r="F11" s="207"/>
      <c r="G11" s="207"/>
      <c r="H11" s="31">
        <v>3</v>
      </c>
      <c r="I11" s="210" t="s">
        <v>65</v>
      </c>
      <c r="J11" s="211"/>
      <c r="K11" s="211"/>
      <c r="L11" s="212"/>
    </row>
    <row r="12" spans="1:14" s="34" customFormat="1">
      <c r="A12" s="31">
        <v>4</v>
      </c>
      <c r="B12" s="31"/>
      <c r="C12" s="76"/>
      <c r="D12" s="33">
        <v>4</v>
      </c>
      <c r="E12" s="213"/>
      <c r="F12" s="207"/>
      <c r="G12" s="207"/>
      <c r="H12" s="32"/>
      <c r="I12" s="32"/>
      <c r="J12" s="208"/>
      <c r="K12" s="208"/>
      <c r="L12" s="208"/>
    </row>
    <row r="13" spans="1:14" s="34" customFormat="1">
      <c r="A13" s="31">
        <v>5</v>
      </c>
      <c r="B13" s="31"/>
      <c r="C13" s="76"/>
      <c r="D13" s="33">
        <v>5</v>
      </c>
      <c r="E13" s="213"/>
      <c r="F13" s="207"/>
      <c r="G13" s="207"/>
      <c r="H13" s="32"/>
      <c r="I13" s="32"/>
      <c r="J13" s="208"/>
      <c r="K13" s="208"/>
      <c r="L13" s="208"/>
    </row>
    <row r="14" spans="1:14" ht="9.6" customHeight="1">
      <c r="A14" s="18"/>
      <c r="B14" s="18"/>
      <c r="C14" s="21"/>
      <c r="D14" s="17"/>
      <c r="E14" s="209"/>
      <c r="F14" s="209"/>
      <c r="G14" s="209"/>
      <c r="H14" s="21"/>
      <c r="I14" s="21"/>
      <c r="J14" s="209"/>
      <c r="K14" s="209"/>
      <c r="L14" s="209"/>
    </row>
    <row r="15" spans="1:14" ht="18.75" customHeight="1">
      <c r="A15" s="22" t="s">
        <v>160</v>
      </c>
      <c r="B15" s="22"/>
      <c r="C15" s="22" t="s">
        <v>49</v>
      </c>
      <c r="D15" s="22"/>
      <c r="E15" s="22" t="s">
        <v>50</v>
      </c>
      <c r="F15" s="22"/>
      <c r="G15" s="22" t="s">
        <v>51</v>
      </c>
      <c r="H15" s="22"/>
      <c r="I15" s="22" t="s">
        <v>63</v>
      </c>
      <c r="J15" s="22" t="s">
        <v>62</v>
      </c>
      <c r="K15" s="22"/>
      <c r="L15" s="22" t="s">
        <v>52</v>
      </c>
    </row>
    <row r="16" spans="1:14" ht="18.75" customHeight="1">
      <c r="A16" s="20">
        <v>1</v>
      </c>
      <c r="B16" s="20"/>
      <c r="C16" s="95" t="str">
        <f>IFERROR((VLOOKUP($A16,入力シート!$A$18:$AM$600,32,0)),"")</f>
        <v>柏アーティスティックスイミングクラブA</v>
      </c>
      <c r="D16" s="23"/>
      <c r="E16" s="25">
        <f>IFERROR(VLOOKUP($A16,入力シート!$A$18:$AM$600,35,0),"")</f>
        <v>68.476699999999994</v>
      </c>
      <c r="F16" s="25"/>
      <c r="G16" s="25">
        <f>IFERROR(VLOOKUP($A16,入力シート!$A$18:$AM$600,36,0),"")</f>
        <v>100.02500000000001</v>
      </c>
      <c r="H16" s="23"/>
      <c r="I16" s="80">
        <f>IFERROR(VLOOKUP($A16,入力シート!$A$18:$AM$600,37,0),"")</f>
        <v>1</v>
      </c>
      <c r="J16" s="80">
        <f>IFERROR(VLOOKUP($A16,入力シート!$A$18:$AM$600,38,0),"")</f>
        <v>0</v>
      </c>
      <c r="K16" s="24"/>
      <c r="L16" s="25">
        <f>IFERROR(VLOOKUP($A16,入力シート!$A$18:$AM$600,39,0),"")</f>
        <v>167.5017</v>
      </c>
    </row>
    <row r="17" spans="1:12">
      <c r="A17" s="18">
        <v>2</v>
      </c>
      <c r="B17" s="18"/>
      <c r="C17" s="95" t="str">
        <f>IFERROR((VLOOKUP($A17,入力シート!$A$18:$AM$600,32,0)),"")</f>
        <v>下アーティスティックスイミングクラブA</v>
      </c>
      <c r="D17" s="23"/>
      <c r="E17" s="25">
        <f>IFERROR(VLOOKUP($A17,入力シート!$A$18:$AM$600,35,0),"")</f>
        <v>67.06580000000001</v>
      </c>
      <c r="F17" s="25"/>
      <c r="G17" s="25">
        <f>IFERROR(VLOOKUP($A17,入力シート!$A$18:$AM$600,36,0),"")</f>
        <v>97.875</v>
      </c>
      <c r="H17" s="23"/>
      <c r="I17" s="80">
        <f>IFERROR(VLOOKUP($A17,入力シート!$A$18:$AM$600,37,0),"")</f>
        <v>1.5</v>
      </c>
      <c r="J17" s="80">
        <f>IFERROR(VLOOKUP($A17,入力シート!$A$18:$AM$600,38,0),"")</f>
        <v>0</v>
      </c>
      <c r="K17" s="24"/>
      <c r="L17" s="25">
        <f>IFERROR(VLOOKUP($A17,入力シート!$A$18:$AM$600,39,0),"")</f>
        <v>163.44080000000002</v>
      </c>
    </row>
    <row r="18" spans="1:12" ht="18.75" customHeight="1">
      <c r="A18" s="18">
        <v>3</v>
      </c>
      <c r="B18" s="18"/>
      <c r="C18" s="95" t="str">
        <f>IFERROR((VLOOKUP($A18,入力シート!$A$18:$AM$600,32,0)),"")</f>
        <v>北アーティスティックスイミングクラブA</v>
      </c>
      <c r="D18" s="23"/>
      <c r="E18" s="25">
        <f>IFERROR(VLOOKUP($A18,入力シート!$A$18:$AM$600,35,0),"")</f>
        <v>67.013300000000015</v>
      </c>
      <c r="F18" s="25"/>
      <c r="G18" s="25">
        <f>IFERROR(VLOOKUP($A18,入力シート!$A$18:$AM$600,36,0),"")</f>
        <v>97.875</v>
      </c>
      <c r="H18" s="23"/>
      <c r="I18" s="80">
        <f>IFERROR(VLOOKUP($A18,入力シート!$A$18:$AM$600,37,0),"")</f>
        <v>1.5</v>
      </c>
      <c r="J18" s="80">
        <f>IFERROR(VLOOKUP($A18,入力シート!$A$18:$AM$600,38,0),"")</f>
        <v>0</v>
      </c>
      <c r="K18" s="24"/>
      <c r="L18" s="25">
        <f>IFERROR(VLOOKUP($A18,入力シート!$A$18:$AM$600,39,0),"")</f>
        <v>163.38830000000002</v>
      </c>
    </row>
    <row r="19" spans="1:12" ht="18.75" customHeight="1">
      <c r="A19" s="18">
        <v>4</v>
      </c>
      <c r="B19" s="18"/>
      <c r="C19" s="95" t="str">
        <f>IFERROR((VLOOKUP($A19,入力シート!$A$18:$AM$600,32,0)),"")</f>
        <v>上アーティスティックスイミングクラブA</v>
      </c>
      <c r="D19" s="23"/>
      <c r="E19" s="25">
        <f>IFERROR(VLOOKUP($A19,入力シート!$A$18:$AM$600,35,0),"")</f>
        <v>66.844100000000012</v>
      </c>
      <c r="F19" s="25"/>
      <c r="G19" s="25">
        <f>IFERROR(VLOOKUP($A19,入力シート!$A$18:$AM$600,36,0),"")</f>
        <v>97.875</v>
      </c>
      <c r="H19" s="23"/>
      <c r="I19" s="80">
        <f>IFERROR(VLOOKUP($A19,入力シート!$A$18:$AM$600,37,0),"")</f>
        <v>1.5</v>
      </c>
      <c r="J19" s="80">
        <f>IFERROR(VLOOKUP($A19,入力シート!$A$18:$AM$600,38,0),"")</f>
        <v>0</v>
      </c>
      <c r="K19" s="24"/>
      <c r="L19" s="25">
        <f>IFERROR(VLOOKUP($A19,入力シート!$A$18:$AM$600,39,0),"")</f>
        <v>163.21910000000003</v>
      </c>
    </row>
    <row r="20" spans="1:12">
      <c r="A20" s="18">
        <v>5</v>
      </c>
      <c r="B20" s="18"/>
      <c r="C20" s="95" t="str">
        <f>IFERROR((VLOOKUP($A20,入力シート!$A$18:$AM$600,32,0)),"")</f>
        <v>宇治アーティスティックスイミングクラブA</v>
      </c>
      <c r="D20" s="23"/>
      <c r="E20" s="25">
        <f>IFERROR(VLOOKUP($A20,入力シート!$A$18:$AM$600,35,0),"")</f>
        <v>65.944100000000006</v>
      </c>
      <c r="F20" s="25"/>
      <c r="G20" s="25">
        <f>IFERROR(VLOOKUP($A20,入力シート!$A$18:$AM$600,36,0),"")</f>
        <v>97.875</v>
      </c>
      <c r="H20" s="23"/>
      <c r="I20" s="80">
        <f>IFERROR(VLOOKUP($A20,入力シート!$A$18:$AM$600,37,0),"")</f>
        <v>1.5</v>
      </c>
      <c r="J20" s="80">
        <f>IFERROR(VLOOKUP($A20,入力シート!$A$18:$AM$600,38,0),"")</f>
        <v>0</v>
      </c>
      <c r="K20" s="24"/>
      <c r="L20" s="25">
        <f>IFERROR(VLOOKUP($A20,入力シート!$A$18:$AM$600,39,0),"")</f>
        <v>162.31909999999999</v>
      </c>
    </row>
    <row r="21" spans="1:12" ht="18.75" customHeight="1">
      <c r="A21" s="18">
        <v>6</v>
      </c>
      <c r="B21" s="18"/>
      <c r="C21" s="95" t="str">
        <f>IFERROR((VLOOKUP($A21,入力シート!$A$18:$AM$600,32,0)),"")</f>
        <v>関西アーティスティックスイミングクラブA</v>
      </c>
      <c r="D21" s="23"/>
      <c r="E21" s="25">
        <f>IFERROR(VLOOKUP($A21,入力シート!$A$18:$AM$600,35,0),"")</f>
        <v>65.805800000000005</v>
      </c>
      <c r="F21" s="25"/>
      <c r="G21" s="25">
        <f>IFERROR(VLOOKUP($A21,入力シート!$A$18:$AM$600,36,0),"")</f>
        <v>97.875</v>
      </c>
      <c r="H21" s="23"/>
      <c r="I21" s="80">
        <f>IFERROR(VLOOKUP($A21,入力シート!$A$18:$AM$600,37,0),"")</f>
        <v>1.5</v>
      </c>
      <c r="J21" s="80">
        <f>IFERROR(VLOOKUP($A21,入力シート!$A$18:$AM$600,38,0),"")</f>
        <v>0</v>
      </c>
      <c r="K21" s="24"/>
      <c r="L21" s="25">
        <f>IFERROR(VLOOKUP($A21,入力シート!$A$18:$AM$600,39,0),"")</f>
        <v>162.1808</v>
      </c>
    </row>
    <row r="22" spans="1:12">
      <c r="A22" s="18">
        <v>7</v>
      </c>
      <c r="B22" s="18"/>
      <c r="C22" s="95" t="str">
        <f>IFERROR((VLOOKUP($A22,入力シート!$A$18:$AM$600,32,0)),"")</f>
        <v>栄アーティスティックスイミングクラブA</v>
      </c>
      <c r="D22" s="23"/>
      <c r="E22" s="25">
        <f>IFERROR(VLOOKUP($A22,入力シート!$A$18:$AM$600,35,0),"")</f>
        <v>65.724100000000007</v>
      </c>
      <c r="F22" s="25"/>
      <c r="G22" s="25">
        <f>IFERROR(VLOOKUP($A22,入力シート!$A$18:$AM$600,36,0),"")</f>
        <v>97.875</v>
      </c>
      <c r="H22" s="23"/>
      <c r="I22" s="80">
        <f>IFERROR(VLOOKUP($A22,入力シート!$A$18:$AM$600,37,0),"")</f>
        <v>1.5</v>
      </c>
      <c r="J22" s="80">
        <f>IFERROR(VLOOKUP($A22,入力シート!$A$18:$AM$600,38,0),"")</f>
        <v>0</v>
      </c>
      <c r="K22" s="24"/>
      <c r="L22" s="25">
        <f>IFERROR(VLOOKUP($A22,入力シート!$A$18:$AM$600,39,0),"")</f>
        <v>162.09910000000002</v>
      </c>
    </row>
    <row r="23" spans="1:12" ht="18.75" customHeight="1">
      <c r="A23" s="18">
        <v>8</v>
      </c>
      <c r="B23" s="18"/>
      <c r="C23" s="95" t="str">
        <f>IFERROR((VLOOKUP($A23,入力シート!$A$18:$AM$600,32,0)),"")</f>
        <v>喜多方アーティスティックスイミングクラブA</v>
      </c>
      <c r="D23" s="23"/>
      <c r="E23" s="25">
        <f>IFERROR(VLOOKUP($A23,入力シート!$A$18:$AM$600,35,0),"")</f>
        <v>65.722499999999997</v>
      </c>
      <c r="F23" s="25"/>
      <c r="G23" s="25">
        <f>IFERROR(VLOOKUP($A23,入力シート!$A$18:$AM$600,36,0),"")</f>
        <v>97.875</v>
      </c>
      <c r="H23" s="23"/>
      <c r="I23" s="80">
        <f>IFERROR(VLOOKUP($A23,入力シート!$A$18:$AM$600,37,0),"")</f>
        <v>1.5</v>
      </c>
      <c r="J23" s="80">
        <f>IFERROR(VLOOKUP($A23,入力シート!$A$18:$AM$600,38,0),"")</f>
        <v>0</v>
      </c>
      <c r="K23" s="24"/>
      <c r="L23" s="25">
        <f>IFERROR(VLOOKUP($A23,入力シート!$A$18:$AM$600,39,0),"")</f>
        <v>162.0975</v>
      </c>
    </row>
    <row r="24" spans="1:12" ht="18.75" customHeight="1">
      <c r="A24" s="18">
        <v>9</v>
      </c>
      <c r="B24" s="18"/>
      <c r="C24" s="95" t="str">
        <f>IFERROR((VLOOKUP($A24,入力シート!$A$18:$AM$600,32,0)),"")</f>
        <v>南アーティスティックスイミングクラブA</v>
      </c>
      <c r="D24" s="23"/>
      <c r="E24" s="25">
        <f>IFERROR(VLOOKUP($A24,入力シート!$A$18:$AM$600,35,0),"")</f>
        <v>65.404100000000014</v>
      </c>
      <c r="F24" s="25"/>
      <c r="G24" s="25">
        <f>IFERROR(VLOOKUP($A24,入力シート!$A$18:$AM$600,36,0),"")</f>
        <v>97.875</v>
      </c>
      <c r="H24" s="23"/>
      <c r="I24" s="80">
        <f>IFERROR(VLOOKUP($A24,入力シート!$A$18:$AM$600,37,0),"")</f>
        <v>1.5</v>
      </c>
      <c r="J24" s="80">
        <f>IFERROR(VLOOKUP($A24,入力シート!$A$18:$AM$600,38,0),"")</f>
        <v>0</v>
      </c>
      <c r="K24" s="24"/>
      <c r="L24" s="25">
        <f>IFERROR(VLOOKUP($A24,入力シート!$A$18:$AM$600,39,0),"")</f>
        <v>161.77910000000003</v>
      </c>
    </row>
    <row r="25" spans="1:12" ht="18.75" customHeight="1">
      <c r="A25" s="18">
        <v>10</v>
      </c>
      <c r="B25" s="18"/>
      <c r="C25" s="95" t="str">
        <f>IFERROR((VLOOKUP($A25,入力シート!$A$18:$AM$600,32,0)),"")</f>
        <v>博多アーティスティックスイミングクラブA</v>
      </c>
      <c r="D25" s="23"/>
      <c r="E25" s="25">
        <f>IFERROR(VLOOKUP($A25,入力シート!$A$18:$AM$600,35,0),"")</f>
        <v>65.324100000000016</v>
      </c>
      <c r="F25" s="25"/>
      <c r="G25" s="25">
        <f>IFERROR(VLOOKUP($A25,入力シート!$A$18:$AM$600,36,0),"")</f>
        <v>97.875</v>
      </c>
      <c r="H25" s="23"/>
      <c r="I25" s="80">
        <f>IFERROR(VLOOKUP($A25,入力シート!$A$18:$AM$600,37,0),"")</f>
        <v>1.5</v>
      </c>
      <c r="J25" s="80">
        <f>IFERROR(VLOOKUP($A25,入力シート!$A$18:$AM$600,38,0),"")</f>
        <v>0</v>
      </c>
      <c r="K25" s="24"/>
      <c r="L25" s="25">
        <f>IFERROR(VLOOKUP($A25,入力シート!$A$18:$AM$600,39,0),"")</f>
        <v>161.69910000000002</v>
      </c>
    </row>
    <row r="26" spans="1:12">
      <c r="A26" s="18">
        <v>11</v>
      </c>
      <c r="B26" s="18"/>
      <c r="C26" s="95" t="str">
        <f>IFERROR((VLOOKUP($A26,入力シート!$A$18:$AM$600,32,0)),"")</f>
        <v>信州アーティスティックスイミングクラブA</v>
      </c>
      <c r="D26" s="23"/>
      <c r="E26" s="25">
        <f>IFERROR(VLOOKUP($A26,入力シート!$A$18:$AM$600,35,0),"")</f>
        <v>65.724100000000007</v>
      </c>
      <c r="F26" s="25"/>
      <c r="G26" s="25">
        <f>IFERROR(VLOOKUP($A26,入力シート!$A$18:$AM$600,36,0),"")</f>
        <v>97.875</v>
      </c>
      <c r="H26" s="23"/>
      <c r="I26" s="80">
        <f>IFERROR(VLOOKUP($A26,入力シート!$A$18:$AM$600,37,0),"")</f>
        <v>2</v>
      </c>
      <c r="J26" s="80">
        <f>IFERROR(VLOOKUP($A26,入力シート!$A$18:$AM$600,38,0),"")</f>
        <v>0</v>
      </c>
      <c r="K26" s="24"/>
      <c r="L26" s="25">
        <f>IFERROR(VLOOKUP($A26,入力シート!$A$18:$AM$600,39,0),"")</f>
        <v>161.59910000000002</v>
      </c>
    </row>
    <row r="27" spans="1:12" ht="18.75" customHeight="1">
      <c r="A27" s="18">
        <v>12</v>
      </c>
      <c r="B27" s="18"/>
      <c r="C27" s="95" t="str">
        <f>IFERROR((VLOOKUP($A27,入力シート!$A$18:$AM$600,32,0)),"")</f>
        <v>桜島アーティスティックスイミングクラブA</v>
      </c>
      <c r="D27" s="23"/>
      <c r="E27" s="25">
        <f>IFERROR(VLOOKUP($A27,入力シート!$A$18:$AM$600,35,0),"")</f>
        <v>65.084100000000007</v>
      </c>
      <c r="F27" s="25"/>
      <c r="G27" s="25">
        <f>IFERROR(VLOOKUP($A27,入力シート!$A$18:$AM$600,36,0),"")</f>
        <v>97.875</v>
      </c>
      <c r="H27" s="23"/>
      <c r="I27" s="80">
        <f>IFERROR(VLOOKUP($A27,入力シート!$A$18:$AM$600,37,0),"")</f>
        <v>1.5</v>
      </c>
      <c r="J27" s="80">
        <f>IFERROR(VLOOKUP($A27,入力シート!$A$18:$AM$600,38,0),"")</f>
        <v>0</v>
      </c>
      <c r="K27" s="24"/>
      <c r="L27" s="25">
        <f>IFERROR(VLOOKUP($A27,入力シート!$A$18:$AM$600,39,0),"")</f>
        <v>161.45910000000001</v>
      </c>
    </row>
    <row r="28" spans="1:12" ht="18.75" customHeight="1">
      <c r="A28" s="18">
        <v>13</v>
      </c>
      <c r="B28" s="18"/>
      <c r="C28" s="95" t="str">
        <f>IFERROR((VLOOKUP($A28,入力シート!$A$18:$AM$600,32,0)),"")</f>
        <v>筑波アーティスティックスイミングクラブA</v>
      </c>
      <c r="D28" s="23"/>
      <c r="E28" s="25">
        <f>IFERROR(VLOOKUP($A28,入力シート!$A$18:$AM$600,35,0),"")</f>
        <v>59.455000000000013</v>
      </c>
      <c r="F28" s="25"/>
      <c r="G28" s="25">
        <f>IFERROR(VLOOKUP($A28,入力シート!$A$18:$AM$600,36,0),"")</f>
        <v>100.35</v>
      </c>
      <c r="H28" s="23"/>
      <c r="I28" s="80">
        <f>IFERROR(VLOOKUP($A28,入力シート!$A$18:$AM$600,37,0),"")</f>
        <v>0</v>
      </c>
      <c r="J28" s="80">
        <f>IFERROR(VLOOKUP($A28,入力シート!$A$18:$AM$600,38,0),"")</f>
        <v>0</v>
      </c>
      <c r="K28" s="24"/>
      <c r="L28" s="25">
        <f>IFERROR(VLOOKUP($A28,入力シート!$A$18:$AM$600,39,0),"")</f>
        <v>159.80500000000001</v>
      </c>
    </row>
    <row r="29" spans="1:12" ht="18.75" customHeight="1">
      <c r="A29" s="18">
        <v>14</v>
      </c>
      <c r="B29" s="18"/>
      <c r="C29" s="95" t="str">
        <f>IFERROR((VLOOKUP($A29,入力シート!$A$18:$AM$600,32,0)),"")</f>
        <v>藤枝アーティスティックスイミングクラブA</v>
      </c>
      <c r="D29" s="23"/>
      <c r="E29" s="25">
        <f>IFERROR(VLOOKUP($A29,入力シート!$A$18:$AM$600,35,0),"")</f>
        <v>62.751599999999996</v>
      </c>
      <c r="F29" s="25"/>
      <c r="G29" s="25">
        <f>IFERROR(VLOOKUP($A29,入力シート!$A$18:$AM$600,36,0),"")</f>
        <v>97.875</v>
      </c>
      <c r="H29" s="23"/>
      <c r="I29" s="80">
        <f>IFERROR(VLOOKUP($A29,入力シート!$A$18:$AM$600,37,0),"")</f>
        <v>1.5</v>
      </c>
      <c r="J29" s="80">
        <f>IFERROR(VLOOKUP($A29,入力シート!$A$18:$AM$600,38,0),"")</f>
        <v>0</v>
      </c>
      <c r="K29" s="24"/>
      <c r="L29" s="25">
        <f>IFERROR(VLOOKUP($A29,入力シート!$A$18:$AM$600,39,0),"")</f>
        <v>159.1266</v>
      </c>
    </row>
    <row r="30" spans="1:12" ht="18.75" customHeight="1">
      <c r="A30" s="18">
        <v>15</v>
      </c>
      <c r="B30" s="18"/>
      <c r="C30" s="95" t="str">
        <f>IFERROR((VLOOKUP($A30,入力シート!$A$18:$AM$600,32,0)),"")</f>
        <v>上アーティスティックスイミングクラブA</v>
      </c>
      <c r="D30" s="23"/>
      <c r="E30" s="25">
        <f>IFERROR(VLOOKUP($A30,入力シート!$A$18:$AM$600,35,0),"")</f>
        <v>60.999100000000013</v>
      </c>
      <c r="F30" s="25"/>
      <c r="G30" s="25">
        <f>IFERROR(VLOOKUP($A30,入力シート!$A$18:$AM$600,36,0),"")</f>
        <v>97.875</v>
      </c>
      <c r="H30" s="23"/>
      <c r="I30" s="80">
        <f>IFERROR(VLOOKUP($A30,入力シート!$A$18:$AM$600,37,0),"")</f>
        <v>1.5</v>
      </c>
      <c r="J30" s="80">
        <f>IFERROR(VLOOKUP($A30,入力シート!$A$18:$AM$600,38,0),"")</f>
        <v>0</v>
      </c>
      <c r="K30" s="24"/>
      <c r="L30" s="25">
        <f>IFERROR(VLOOKUP($A30,入力シート!$A$18:$AM$600,39,0),"")</f>
        <v>157.3741</v>
      </c>
    </row>
    <row r="31" spans="1:12" ht="18.75" customHeight="1">
      <c r="A31" s="18">
        <v>16</v>
      </c>
      <c r="B31" s="21"/>
      <c r="C31" s="95" t="str">
        <f>IFERROR((VLOOKUP($A31,入力シート!$A$18:$AM$600,32,0)),"")</f>
        <v>道頓堀アーティスティックスイミングクラブA</v>
      </c>
      <c r="D31" s="23"/>
      <c r="E31" s="25">
        <f>IFERROR(VLOOKUP($A31,入力シート!$A$18:$AM$600,35,0),"")</f>
        <v>57.844999999999999</v>
      </c>
      <c r="F31" s="25"/>
      <c r="G31" s="25">
        <f>IFERROR(VLOOKUP($A31,入力シート!$A$18:$AM$600,36,0),"")</f>
        <v>92.825000000000003</v>
      </c>
      <c r="H31" s="23"/>
      <c r="I31" s="80">
        <f>IFERROR(VLOOKUP($A31,入力シート!$A$18:$AM$600,37,0),"")</f>
        <v>2</v>
      </c>
      <c r="J31" s="80">
        <f>IFERROR(VLOOKUP($A31,入力シート!$A$18:$AM$600,38,0),"")</f>
        <v>0</v>
      </c>
      <c r="K31" s="24"/>
      <c r="L31" s="25">
        <f>IFERROR(VLOOKUP($A31,入力シート!$A$18:$AM$600,39,0),"")</f>
        <v>148.67000000000002</v>
      </c>
    </row>
    <row r="32" spans="1:12">
      <c r="A32" s="18">
        <v>17</v>
      </c>
      <c r="C32" s="95" t="str">
        <f>IFERROR((VLOOKUP($A32,入力シート!$A$18:$AM$600,32,0)),"")</f>
        <v>神奈川アーティスティックスイミングクラブA</v>
      </c>
      <c r="D32" s="23"/>
      <c r="E32" s="25">
        <f>IFERROR(VLOOKUP($A32,入力シート!$A$18:$AM$600,35,0),"")</f>
        <v>28.591599999999996</v>
      </c>
      <c r="F32" s="25"/>
      <c r="G32" s="25">
        <f>IFERROR(VLOOKUP($A32,入力シート!$A$18:$AM$600,36,0),"")</f>
        <v>100.72499999999999</v>
      </c>
      <c r="H32" s="23"/>
      <c r="I32" s="80">
        <f>IFERROR(VLOOKUP($A32,入力シート!$A$18:$AM$600,37,0),"")</f>
        <v>0</v>
      </c>
      <c r="J32" s="80">
        <f>IFERROR(VLOOKUP($A32,入力シート!$A$18:$AM$600,38,0),"")</f>
        <v>0</v>
      </c>
      <c r="K32" s="24"/>
      <c r="L32" s="25">
        <f>IFERROR(VLOOKUP($A32,入力シート!$A$18:$AM$600,39,0),"")</f>
        <v>129.31659999999999</v>
      </c>
    </row>
    <row r="33" spans="1:12">
      <c r="A33" s="18">
        <v>18</v>
      </c>
      <c r="C33" s="95" t="str">
        <f>IFERROR((VLOOKUP($A33,入力シート!$A$18:$AM$600,32,0)),"")</f>
        <v>埼玉アーティスティックスイミングクラブA</v>
      </c>
      <c r="D33" s="23"/>
      <c r="E33" s="25">
        <f>IFERROR(VLOOKUP($A33,入力シート!$A$18:$AM$600,35,0),"")</f>
        <v>30.104199999999995</v>
      </c>
      <c r="F33" s="25"/>
      <c r="G33" s="25">
        <f>IFERROR(VLOOKUP($A33,入力シート!$A$18:$AM$600,36,0),"")</f>
        <v>93.25</v>
      </c>
      <c r="H33" s="23"/>
      <c r="I33" s="80">
        <f>IFERROR(VLOOKUP($A33,入力シート!$A$18:$AM$600,37,0),"")</f>
        <v>0</v>
      </c>
      <c r="J33" s="80">
        <f>IFERROR(VLOOKUP($A33,入力シート!$A$18:$AM$600,38,0),"")</f>
        <v>2</v>
      </c>
      <c r="K33" s="24"/>
      <c r="L33" s="25">
        <f>IFERROR(VLOOKUP($A33,入力シート!$A$18:$AM$600,39,0),"")</f>
        <v>121.35419999999999</v>
      </c>
    </row>
    <row r="34" spans="1:12">
      <c r="A34" s="18">
        <v>19</v>
      </c>
      <c r="C34" s="95" t="str">
        <f>IFERROR((VLOOKUP($A34,入力シート!$A$18:$AM$600,32,0)),"")</f>
        <v>世田谷アーティスティックスイミングクラブA</v>
      </c>
      <c r="D34" s="23"/>
      <c r="E34" s="25">
        <f>IFERROR(VLOOKUP($A34,入力シート!$A$18:$AM$600,35,0),"")</f>
        <v>15.490099999999996</v>
      </c>
      <c r="F34" s="25"/>
      <c r="G34" s="25">
        <f>IFERROR(VLOOKUP($A34,入力シート!$A$18:$AM$600,36,0),"")</f>
        <v>94.275000000000006</v>
      </c>
      <c r="H34" s="23"/>
      <c r="I34" s="80">
        <f>IFERROR(VLOOKUP($A34,入力シート!$A$18:$AM$600,37,0),"")</f>
        <v>0</v>
      </c>
      <c r="J34" s="80">
        <f>IFERROR(VLOOKUP($A34,入力シート!$A$18:$AM$600,38,0),"")</f>
        <v>0</v>
      </c>
      <c r="K34" s="24"/>
      <c r="L34" s="25">
        <f>IFERROR(VLOOKUP($A34,入力シート!$A$18:$AM$600,39,0),"")</f>
        <v>109.7651</v>
      </c>
    </row>
    <row r="35" spans="1:12">
      <c r="A35" s="18">
        <v>20</v>
      </c>
      <c r="C35" s="95" t="str">
        <f>IFERROR((VLOOKUP($A35,入力シート!$A$18:$AM$600,31,0)&amp;"/"&amp;(VLOOKUP($A35,入力シート!$A$18:$AM$600,32,0))),"")</f>
        <v>20/0</v>
      </c>
      <c r="D35" s="23"/>
      <c r="E35" s="25">
        <f>IFERROR(VLOOKUP($A35,入力シート!$A$18:$AM$600,35,0),"")</f>
        <v>-7.7</v>
      </c>
      <c r="F35" s="25"/>
      <c r="G35" s="25">
        <f>IFERROR(VLOOKUP($A35,入力シート!$A$18:$AM$600,36,0),"")</f>
        <v>97.875</v>
      </c>
      <c r="H35" s="23"/>
      <c r="I35" s="80">
        <f>IFERROR(VLOOKUP($A35,入力シート!$A$18:$AM$600,37,0),"")</f>
        <v>1.5</v>
      </c>
      <c r="J35" s="80">
        <f>IFERROR(VLOOKUP($A35,入力シート!$A$18:$AM$600,38,0),"")</f>
        <v>0</v>
      </c>
      <c r="K35" s="24"/>
      <c r="L35" s="25">
        <f>IFERROR(VLOOKUP($A35,入力シート!$A$18:$AM$600,39,0),"")</f>
        <v>88.674999999999997</v>
      </c>
    </row>
    <row r="36" spans="1:12">
      <c r="C36" s="23" t="str">
        <f>IFERROR(VLOOKUP($A36,入力シート!$A$18:$AM$213,31,0),"")</f>
        <v/>
      </c>
      <c r="D36" s="23"/>
      <c r="E36" s="23" t="str">
        <f>IFERROR(VLOOKUP($A36,入力シート!$A$18:$AM$213,34,0),"")</f>
        <v/>
      </c>
      <c r="F36" s="23"/>
      <c r="G36" s="23" t="str">
        <f>IFERROR(VLOOKUP($A36,入力シート!$A$18:$AM$213,35,0),"")</f>
        <v/>
      </c>
      <c r="H36" s="23"/>
      <c r="I36" s="25" t="str">
        <f>IFERROR(VLOOKUP($A36,入力シート!$A$18:$AM$213,27,0),"")</f>
        <v/>
      </c>
      <c r="J36" s="25" t="str">
        <f>IFERROR(VLOOKUP($A36,入力シート!$A$18:$AM$213,27,0),"")</f>
        <v/>
      </c>
      <c r="K36" s="24"/>
      <c r="L36" s="25" t="str">
        <f>IFERROR(VLOOKUP($A36,入力シート!$A$18:$AM$213,28,0),"")</f>
        <v/>
      </c>
    </row>
  </sheetData>
  <mergeCells count="17">
    <mergeCell ref="I11:L11"/>
    <mergeCell ref="J14:L14"/>
    <mergeCell ref="E9:G9"/>
    <mergeCell ref="E10:G10"/>
    <mergeCell ref="E11:G11"/>
    <mergeCell ref="E12:G12"/>
    <mergeCell ref="E14:G14"/>
    <mergeCell ref="J12:L12"/>
    <mergeCell ref="E13:G13"/>
    <mergeCell ref="J13:L13"/>
    <mergeCell ref="I9:L9"/>
    <mergeCell ref="I10:L10"/>
    <mergeCell ref="B5:C5"/>
    <mergeCell ref="H5:K5"/>
    <mergeCell ref="B3:C3"/>
    <mergeCell ref="B2:C2"/>
    <mergeCell ref="B1:C1"/>
  </mergeCells>
  <phoneticPr fontId="1"/>
  <pageMargins left="0.7" right="0.7" top="0.75" bottom="0.75" header="0.3" footer="0.3"/>
  <pageSetup paperSize="9" scale="7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F24F-AAE7-4A44-ABB7-45773FE8D204}">
  <dimension ref="A1:C60"/>
  <sheetViews>
    <sheetView workbookViewId="0"/>
  </sheetViews>
  <sheetFormatPr defaultRowHeight="18.75"/>
  <cols>
    <col min="2" max="2" width="57" bestFit="1" customWidth="1"/>
    <col min="3" max="3" width="5.25" bestFit="1" customWidth="1"/>
  </cols>
  <sheetData>
    <row r="1" spans="1:3">
      <c r="A1" s="15" t="s">
        <v>35</v>
      </c>
      <c r="B1" s="15"/>
    </row>
    <row r="2" spans="1:3">
      <c r="A2" s="16"/>
      <c r="B2" s="16" t="s">
        <v>93</v>
      </c>
    </row>
    <row r="3" spans="1:3">
      <c r="A3" s="16">
        <v>1</v>
      </c>
      <c r="B3" s="16" t="s">
        <v>36</v>
      </c>
    </row>
    <row r="4" spans="1:3">
      <c r="A4" s="16">
        <v>2</v>
      </c>
      <c r="B4" s="16" t="s">
        <v>37</v>
      </c>
    </row>
    <row r="5" spans="1:3">
      <c r="A5" s="16">
        <v>3</v>
      </c>
      <c r="B5" s="16" t="s">
        <v>38</v>
      </c>
    </row>
    <row r="6" spans="1:3">
      <c r="A6" s="16">
        <v>4</v>
      </c>
      <c r="B6" s="16" t="s">
        <v>39</v>
      </c>
    </row>
    <row r="7" spans="1:3">
      <c r="A7" s="16">
        <v>5</v>
      </c>
      <c r="B7" s="16" t="s">
        <v>0</v>
      </c>
    </row>
    <row r="8" spans="1:3">
      <c r="A8" s="16">
        <v>7</v>
      </c>
      <c r="B8" s="16" t="s">
        <v>40</v>
      </c>
    </row>
    <row r="9" spans="1:3">
      <c r="A9" s="16">
        <v>8</v>
      </c>
      <c r="B9" s="16" t="s">
        <v>41</v>
      </c>
    </row>
    <row r="10" spans="1:3">
      <c r="A10" s="16">
        <v>9</v>
      </c>
      <c r="B10" s="16" t="s">
        <v>42</v>
      </c>
    </row>
    <row r="11" spans="1:3">
      <c r="A11" s="16">
        <v>10</v>
      </c>
      <c r="B11" s="16" t="s">
        <v>43</v>
      </c>
    </row>
    <row r="12" spans="1:3">
      <c r="A12" s="16">
        <v>11</v>
      </c>
      <c r="B12" s="16" t="s">
        <v>44</v>
      </c>
    </row>
    <row r="13" spans="1:3">
      <c r="A13" s="16">
        <v>12</v>
      </c>
      <c r="B13" s="16" t="s">
        <v>45</v>
      </c>
    </row>
    <row r="14" spans="1:3">
      <c r="A14" s="16">
        <v>13</v>
      </c>
      <c r="B14" s="16" t="s">
        <v>46</v>
      </c>
      <c r="C14" t="s">
        <v>278</v>
      </c>
    </row>
    <row r="16" spans="1:3">
      <c r="A16" s="15" t="s">
        <v>90</v>
      </c>
      <c r="B16" s="16" t="s">
        <v>94</v>
      </c>
    </row>
    <row r="17" spans="1:3">
      <c r="A17" s="16">
        <v>1</v>
      </c>
      <c r="B17" s="16" t="s">
        <v>92</v>
      </c>
    </row>
    <row r="18" spans="1:3">
      <c r="A18" s="16">
        <v>2</v>
      </c>
      <c r="B18" s="16" t="s">
        <v>91</v>
      </c>
    </row>
    <row r="19" spans="1:3">
      <c r="A19" s="16">
        <v>3</v>
      </c>
      <c r="B19" s="16" t="s">
        <v>136</v>
      </c>
    </row>
    <row r="20" spans="1:3">
      <c r="A20" s="16">
        <v>4</v>
      </c>
      <c r="B20" s="16" t="s">
        <v>135</v>
      </c>
    </row>
    <row r="22" spans="1:3">
      <c r="A22" s="5" t="s">
        <v>205</v>
      </c>
    </row>
    <row r="23" spans="1:3">
      <c r="A23" s="11"/>
      <c r="B23" s="101" t="s">
        <v>165</v>
      </c>
      <c r="C23" s="49"/>
    </row>
    <row r="24" spans="1:3">
      <c r="A24" s="11"/>
      <c r="B24" s="101" t="s">
        <v>279</v>
      </c>
      <c r="C24" s="49"/>
    </row>
    <row r="25" spans="1:3">
      <c r="A25" s="11"/>
      <c r="B25" s="101" t="s">
        <v>280</v>
      </c>
      <c r="C25" s="49"/>
    </row>
    <row r="26" spans="1:3">
      <c r="A26" s="11"/>
      <c r="B26" s="101" t="s">
        <v>281</v>
      </c>
      <c r="C26" s="49"/>
    </row>
    <row r="27" spans="1:3">
      <c r="A27" s="11"/>
      <c r="B27" s="101" t="s">
        <v>282</v>
      </c>
      <c r="C27" s="49"/>
    </row>
    <row r="28" spans="1:3">
      <c r="A28" s="11"/>
      <c r="B28" s="101" t="s">
        <v>284</v>
      </c>
      <c r="C28" s="49"/>
    </row>
    <row r="29" spans="1:3">
      <c r="A29" s="11"/>
      <c r="B29" s="97" t="s">
        <v>173</v>
      </c>
      <c r="C29" s="49"/>
    </row>
    <row r="30" spans="1:3">
      <c r="A30" s="11"/>
      <c r="B30" s="97" t="s">
        <v>174</v>
      </c>
      <c r="C30" s="49"/>
    </row>
    <row r="31" spans="1:3">
      <c r="A31" s="11"/>
      <c r="B31" s="97" t="s">
        <v>175</v>
      </c>
      <c r="C31" s="49"/>
    </row>
    <row r="32" spans="1:3">
      <c r="A32" s="11"/>
      <c r="B32" s="97" t="s">
        <v>176</v>
      </c>
      <c r="C32" s="49"/>
    </row>
    <row r="33" spans="2:2">
      <c r="B33" s="97" t="s">
        <v>177</v>
      </c>
    </row>
    <row r="34" spans="2:2">
      <c r="B34" s="97" t="s">
        <v>178</v>
      </c>
    </row>
    <row r="35" spans="2:2">
      <c r="B35" s="97" t="s">
        <v>179</v>
      </c>
    </row>
    <row r="36" spans="2:2">
      <c r="B36" s="97" t="s">
        <v>180</v>
      </c>
    </row>
    <row r="37" spans="2:2">
      <c r="B37" s="97" t="s">
        <v>181</v>
      </c>
    </row>
    <row r="38" spans="2:2">
      <c r="B38" s="97" t="s">
        <v>182</v>
      </c>
    </row>
    <row r="39" spans="2:2">
      <c r="B39" s="97" t="s">
        <v>183</v>
      </c>
    </row>
    <row r="40" spans="2:2">
      <c r="B40" s="97" t="s">
        <v>184</v>
      </c>
    </row>
    <row r="41" spans="2:2">
      <c r="B41" s="97" t="s">
        <v>185</v>
      </c>
    </row>
    <row r="42" spans="2:2">
      <c r="B42" s="97" t="s">
        <v>204</v>
      </c>
    </row>
    <row r="43" spans="2:2">
      <c r="B43" s="97" t="s">
        <v>186</v>
      </c>
    </row>
    <row r="44" spans="2:2">
      <c r="B44" s="97" t="s">
        <v>187</v>
      </c>
    </row>
    <row r="45" spans="2:2">
      <c r="B45" s="97" t="s">
        <v>188</v>
      </c>
    </row>
    <row r="46" spans="2:2">
      <c r="B46" s="97" t="s">
        <v>189</v>
      </c>
    </row>
    <row r="47" spans="2:2">
      <c r="B47" s="97" t="s">
        <v>190</v>
      </c>
    </row>
    <row r="48" spans="2:2">
      <c r="B48" s="97" t="s">
        <v>191</v>
      </c>
    </row>
    <row r="49" spans="2:2">
      <c r="B49" s="97" t="s">
        <v>192</v>
      </c>
    </row>
    <row r="50" spans="2:2">
      <c r="B50" s="97" t="s">
        <v>193</v>
      </c>
    </row>
    <row r="51" spans="2:2">
      <c r="B51" s="97" t="s">
        <v>194</v>
      </c>
    </row>
    <row r="52" spans="2:2">
      <c r="B52" s="97" t="s">
        <v>195</v>
      </c>
    </row>
    <row r="53" spans="2:2">
      <c r="B53" s="97" t="s">
        <v>196</v>
      </c>
    </row>
    <row r="54" spans="2:2">
      <c r="B54" s="97" t="s">
        <v>197</v>
      </c>
    </row>
    <row r="55" spans="2:2">
      <c r="B55" s="97" t="s">
        <v>198</v>
      </c>
    </row>
    <row r="56" spans="2:2">
      <c r="B56" s="97" t="s">
        <v>199</v>
      </c>
    </row>
    <row r="57" spans="2:2">
      <c r="B57" s="97" t="s">
        <v>200</v>
      </c>
    </row>
    <row r="58" spans="2:2">
      <c r="B58" s="97" t="s">
        <v>201</v>
      </c>
    </row>
    <row r="59" spans="2:2">
      <c r="B59" s="97" t="s">
        <v>202</v>
      </c>
    </row>
    <row r="60" spans="2:2">
      <c r="B60" s="97" t="s">
        <v>203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係数</vt:lpstr>
      <vt:lpstr>入力シート</vt:lpstr>
      <vt:lpstr>S・D結果</vt:lpstr>
      <vt:lpstr>チーム種目結果</vt:lpstr>
      <vt:lpstr>リスト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cp:lastPrinted>2025-02-22T03:54:37Z</cp:lastPrinted>
  <dcterms:created xsi:type="dcterms:W3CDTF">2023-10-09T17:20:34Z</dcterms:created>
  <dcterms:modified xsi:type="dcterms:W3CDTF">2025-02-22T15:16:29Z</dcterms:modified>
</cp:coreProperties>
</file>